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735"/>
  </bookViews>
  <sheets>
    <sheet name="092020" sheetId="18" r:id="rId1"/>
    <sheet name="RESUMEN" sheetId="20" state="hidden" r:id="rId2"/>
    <sheet name="Hoja1" sheetId="19" state="hidden" r:id="rId3"/>
  </sheets>
  <definedNames>
    <definedName name="Excel_BuiltIn_Print_Area_1">#REF!</definedName>
    <definedName name="Excel_BuiltIn_Print_Area_1_1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N16" i="18" l="1"/>
  <c r="M16" i="18"/>
  <c r="O16" i="18" s="1"/>
  <c r="N18" i="18"/>
  <c r="P18" i="18" s="1"/>
  <c r="M18" i="18"/>
  <c r="N11" i="18"/>
  <c r="M11" i="18"/>
  <c r="N15" i="18"/>
  <c r="M15" i="18"/>
  <c r="N21" i="18"/>
  <c r="N24" i="18"/>
  <c r="P24" i="18" s="1"/>
  <c r="M24" i="18"/>
  <c r="M19" i="18" s="1"/>
  <c r="N17" i="18"/>
  <c r="N10" i="18"/>
  <c r="N20" i="18"/>
  <c r="P20" i="18" s="1"/>
  <c r="N26" i="18"/>
  <c r="P26" i="18" s="1"/>
  <c r="M26" i="18"/>
  <c r="N28" i="18"/>
  <c r="M28" i="18"/>
  <c r="N25" i="18"/>
  <c r="M25" i="18"/>
  <c r="N30" i="18"/>
  <c r="M30" i="18"/>
  <c r="N23" i="18"/>
  <c r="M23" i="18"/>
  <c r="N31" i="18"/>
  <c r="N27" i="18"/>
  <c r="M27" i="18"/>
  <c r="O27" i="18" s="1"/>
  <c r="N14" i="18"/>
  <c r="M14" i="18"/>
  <c r="P35" i="18"/>
  <c r="O35" i="18"/>
  <c r="N35" i="18"/>
  <c r="M35" i="18"/>
  <c r="L35" i="18"/>
  <c r="P32" i="18"/>
  <c r="O32" i="18"/>
  <c r="N32" i="18"/>
  <c r="M32" i="18"/>
  <c r="P31" i="18"/>
  <c r="O31" i="18"/>
  <c r="P30" i="18"/>
  <c r="O30" i="18"/>
  <c r="P29" i="18"/>
  <c r="O29" i="18"/>
  <c r="P28" i="18"/>
  <c r="O28" i="18"/>
  <c r="P27" i="18"/>
  <c r="O26" i="18"/>
  <c r="P25" i="18"/>
  <c r="O25" i="18"/>
  <c r="P23" i="18"/>
  <c r="O23" i="18"/>
  <c r="P22" i="18"/>
  <c r="O22" i="18"/>
  <c r="P21" i="18"/>
  <c r="O21" i="18"/>
  <c r="O20" i="18"/>
  <c r="N19" i="18"/>
  <c r="L19" i="18"/>
  <c r="O18" i="18"/>
  <c r="P17" i="18"/>
  <c r="O17" i="18"/>
  <c r="P16" i="18"/>
  <c r="P15" i="18"/>
  <c r="O15" i="18"/>
  <c r="P14" i="18"/>
  <c r="O14" i="18"/>
  <c r="N12" i="18"/>
  <c r="L12" i="18"/>
  <c r="P11" i="18"/>
  <c r="O11" i="18"/>
  <c r="P10" i="18"/>
  <c r="O10" i="18"/>
  <c r="N9" i="18"/>
  <c r="M9" i="18"/>
  <c r="L9" i="18"/>
  <c r="F10" i="18"/>
  <c r="E29" i="18"/>
  <c r="E31" i="18"/>
  <c r="F31" i="18" s="1"/>
  <c r="E30" i="18"/>
  <c r="E28" i="18"/>
  <c r="F28" i="18" s="1"/>
  <c r="E27" i="18"/>
  <c r="E26" i="18"/>
  <c r="E25" i="18"/>
  <c r="E24" i="18"/>
  <c r="E23" i="18"/>
  <c r="E22" i="18"/>
  <c r="E21" i="18"/>
  <c r="E20" i="18"/>
  <c r="O24" i="18" l="1"/>
  <c r="O19" i="18" s="1"/>
  <c r="O9" i="18"/>
  <c r="M12" i="18"/>
  <c r="M8" i="18" s="1"/>
  <c r="M45" i="18" s="1"/>
  <c r="L8" i="18"/>
  <c r="L45" i="18" s="1"/>
  <c r="P9" i="18"/>
  <c r="O12" i="18"/>
  <c r="O8" i="18" s="1"/>
  <c r="P12" i="18"/>
  <c r="P19" i="18"/>
  <c r="N8" i="18"/>
  <c r="N45" i="18" s="1"/>
  <c r="J30" i="18"/>
  <c r="K30" i="18"/>
  <c r="K29" i="18"/>
  <c r="J29" i="18"/>
  <c r="K28" i="18"/>
  <c r="J28" i="18"/>
  <c r="K27" i="18"/>
  <c r="J27" i="18"/>
  <c r="K26" i="18"/>
  <c r="J26" i="18"/>
  <c r="K25" i="18"/>
  <c r="J25" i="18"/>
  <c r="K24" i="18"/>
  <c r="J24" i="18"/>
  <c r="K23" i="18"/>
  <c r="J23" i="18"/>
  <c r="K22" i="18"/>
  <c r="J22" i="18"/>
  <c r="J21" i="18"/>
  <c r="K21" i="18"/>
  <c r="J17" i="18"/>
  <c r="K17" i="18"/>
  <c r="K16" i="18"/>
  <c r="J16" i="18"/>
  <c r="K15" i="18"/>
  <c r="J15" i="18"/>
  <c r="J11" i="18"/>
  <c r="K11" i="18"/>
  <c r="P8" i="18" l="1"/>
  <c r="P45" i="18" s="1"/>
  <c r="N46" i="18"/>
  <c r="O45" i="18"/>
  <c r="K31" i="18"/>
  <c r="J31" i="18"/>
  <c r="K20" i="18"/>
  <c r="J20" i="18"/>
  <c r="K18" i="18"/>
  <c r="J18" i="18"/>
  <c r="K14" i="18"/>
  <c r="J14" i="18"/>
  <c r="K10" i="18"/>
  <c r="J10" i="18"/>
  <c r="P46" i="18" l="1"/>
  <c r="F42" i="18"/>
  <c r="F41" i="18"/>
  <c r="F40" i="18"/>
  <c r="F39" i="18"/>
  <c r="F36" i="18"/>
  <c r="F18" i="18"/>
  <c r="F17" i="18"/>
  <c r="F16" i="18"/>
  <c r="F15" i="18"/>
  <c r="F14" i="18"/>
  <c r="F13" i="18"/>
  <c r="J19" i="18"/>
  <c r="J9" i="18"/>
  <c r="K19" i="18"/>
  <c r="K9" i="18"/>
  <c r="F29" i="18"/>
  <c r="F30" i="18"/>
  <c r="F27" i="18"/>
  <c r="F26" i="18"/>
  <c r="F25" i="18"/>
  <c r="F24" i="18"/>
  <c r="F23" i="18"/>
  <c r="F22" i="18"/>
  <c r="F21" i="18"/>
  <c r="F20" i="18"/>
  <c r="K35" i="18"/>
  <c r="J35" i="18"/>
  <c r="I35" i="18"/>
  <c r="H35" i="18"/>
  <c r="G35" i="18"/>
  <c r="K32" i="18"/>
  <c r="J32" i="18"/>
  <c r="I32" i="18"/>
  <c r="H32" i="18"/>
  <c r="I19" i="18"/>
  <c r="H19" i="18"/>
  <c r="G19" i="18"/>
  <c r="I12" i="18"/>
  <c r="G12" i="18"/>
  <c r="I9" i="18"/>
  <c r="H9" i="18"/>
  <c r="G9" i="18"/>
  <c r="C50" i="18"/>
  <c r="F12" i="18" l="1"/>
  <c r="F19" i="18"/>
  <c r="F35" i="18"/>
  <c r="K12" i="18"/>
  <c r="K8" i="18" s="1"/>
  <c r="K45" i="18" s="1"/>
  <c r="H12" i="18"/>
  <c r="H8" i="18" s="1"/>
  <c r="H45" i="18" s="1"/>
  <c r="I8" i="18"/>
  <c r="I45" i="18" s="1"/>
  <c r="G8" i="18"/>
  <c r="G45" i="18" s="1"/>
  <c r="J12" i="18"/>
  <c r="J8" i="18" s="1"/>
  <c r="J45" i="18" s="1"/>
  <c r="I46" i="18" l="1"/>
  <c r="K46" i="18"/>
  <c r="F11" i="18"/>
  <c r="F9" i="18" s="1"/>
  <c r="F8" i="18" s="1"/>
  <c r="F45" i="18" s="1"/>
</calcChain>
</file>

<file path=xl/sharedStrings.xml><?xml version="1.0" encoding="utf-8"?>
<sst xmlns="http://schemas.openxmlformats.org/spreadsheetml/2006/main" count="525" uniqueCount="125">
  <si>
    <t xml:space="preserve"> </t>
  </si>
  <si>
    <t>MONEDA</t>
  </si>
  <si>
    <t>DEUDA</t>
  </si>
  <si>
    <t>PRESTAMISTA</t>
  </si>
  <si>
    <t>DE ORIGEN</t>
  </si>
  <si>
    <t>FONDO FIDUCIARIO DESARROLLO PROVINCIAL</t>
  </si>
  <si>
    <t>Pesos</t>
  </si>
  <si>
    <t>OTROS ENTES DEL ESTADO NACIONAL</t>
  </si>
  <si>
    <t>SUPERINTENDENCIA DEL SERVICIO DE SALUD</t>
  </si>
  <si>
    <t>FINANCIAMIENTO DE ORGANISMOS MULTILATERALES DE CREDITO</t>
  </si>
  <si>
    <t>dólar</t>
  </si>
  <si>
    <t>SVOA-Sistema Cloacal Caucete</t>
  </si>
  <si>
    <t>ENTIDADES BANCARIAS Y FINANCIERAS</t>
  </si>
  <si>
    <t>DEUDA CONSOLIDADA</t>
  </si>
  <si>
    <t>TITULOS PUBLICOS PROVINCIALES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</si>
  <si>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</si>
  <si>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</si>
  <si>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</si>
  <si>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</si>
  <si>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</si>
  <si>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</si>
  <si>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</si>
  <si>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Amortización</t>
  </si>
  <si>
    <t>Títulos Públicos Locales</t>
  </si>
  <si>
    <t>De colocación no voluntaria</t>
  </si>
  <si>
    <t>Títulos Públicos -Ley 6606</t>
  </si>
  <si>
    <t>FIDA Nº 713</t>
  </si>
  <si>
    <t xml:space="preserve"> Anexo II –STOCK DE DEUDA DE LA ADMINISTRACION PUBLICA NO FINANCIERA</t>
  </si>
  <si>
    <t>MINISTERIO DE HACIENDA Y FINANZAS</t>
  </si>
  <si>
    <t>De colocación Voluntaria</t>
  </si>
  <si>
    <t>DEVENGADO</t>
  </si>
  <si>
    <t>BASE CAJA</t>
  </si>
  <si>
    <t>BID Nº 2573--OC-AR</t>
  </si>
  <si>
    <t>BIRF Nº 7597-AR-</t>
  </si>
  <si>
    <t>Fondo de Garantia de Sustentabilidad</t>
  </si>
  <si>
    <t>Administración Federal de Ingresos Públicos- Ley 1593-I Plan de Pago Previsional J 607314</t>
  </si>
  <si>
    <t>BID-AR-L-1022 Y BID1798-OC-AR-Prog.para el Des.dela Pccion y Empleo de la Pcia.San Juan</t>
  </si>
  <si>
    <t xml:space="preserve">GOBIERNO DE LA PROVINCIA DE SAN JUAN  </t>
  </si>
  <si>
    <t xml:space="preserve">BID Nº 899Y Nº4150-Programa de Servicio Agrícolas Pciales </t>
  </si>
  <si>
    <t>FINALIZACION</t>
  </si>
  <si>
    <t>PRESTAMO</t>
  </si>
  <si>
    <t>DEL</t>
  </si>
  <si>
    <t>FEB./2030</t>
  </si>
  <si>
    <t>MARZO./2022</t>
  </si>
  <si>
    <t>AGOSTO./2028</t>
  </si>
  <si>
    <t>FEB./2023</t>
  </si>
  <si>
    <t>OCTUBRE./2020</t>
  </si>
  <si>
    <t>NOVIEMB./2029</t>
  </si>
  <si>
    <t>FEB./2040</t>
  </si>
  <si>
    <t>AGOSTO./2024</t>
  </si>
  <si>
    <t>MAYO./2037</t>
  </si>
  <si>
    <t>OCTUBRE./2024</t>
  </si>
  <si>
    <t>DICIEMB./2042</t>
  </si>
  <si>
    <t>Fondo KUWAITI</t>
  </si>
  <si>
    <t>Fondo OPEP-Organización de Países Exportadores de Petróleo-</t>
  </si>
  <si>
    <t>FONDO FIDUCIARIO DESARROLLO PROVINCIAL-CAMESA-</t>
  </si>
  <si>
    <t>SEPTIEM./2023</t>
  </si>
  <si>
    <t>Títulos Públicos  Internacionales</t>
  </si>
  <si>
    <t>Programa Federal de Desendeudamiento</t>
  </si>
  <si>
    <t>Administracion Federal de Ingresos Publicos--DECRETO 1123-MHF-2013-Convenio mayores costos</t>
  </si>
  <si>
    <t>Programa Federal De Fortalecimiento Operativo en Areas de Seg. Y Salud--PROFEDESS--</t>
  </si>
  <si>
    <t>BIRF Nº 7853-AR-SWAP</t>
  </si>
  <si>
    <t>BID Nº 2763</t>
  </si>
  <si>
    <t>BID 3806 -PROSAP IV-</t>
  </si>
  <si>
    <t>Títulos Públicos -Ley 7669</t>
  </si>
  <si>
    <t>Intereses</t>
  </si>
  <si>
    <t>USO DEL.CTO.</t>
  </si>
  <si>
    <t>NOVIEMB./2032</t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</si>
  <si>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</si>
  <si>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</si>
  <si>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</si>
  <si>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</si>
  <si>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</si>
  <si>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</si>
  <si>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</si>
  <si>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</si>
  <si>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 xml:space="preserve"> GOBIERNO NACIONAL</t>
  </si>
  <si>
    <t>F.Aprobado</t>
  </si>
  <si>
    <t>Comprob.</t>
  </si>
  <si>
    <t>Documento</t>
  </si>
  <si>
    <t>Item</t>
  </si>
  <si>
    <t>Pagado</t>
  </si>
  <si>
    <t>NºPago</t>
  </si>
  <si>
    <t>Referencia</t>
  </si>
  <si>
    <t>Cta. Pagadora</t>
  </si>
  <si>
    <t>Dest.</t>
  </si>
  <si>
    <t>Inst.de Pago</t>
  </si>
  <si>
    <t>CP PDPA-D660- 33 PROGRAMA DE DESENDEUDAMIENTO DE LAS PROVINCIAS ARGENTINAS</t>
  </si>
  <si>
    <t>Liq al Prov</t>
  </si>
  <si>
    <t>GOBIERNO DE LA NACIÓN ARGENTINA  O.P.</t>
  </si>
  <si>
    <t>Desc. Coparticipación Nac. Crédito Público</t>
  </si>
  <si>
    <t>CP PROFEDESS  PROFEDESS - Fondo para el Fortalecimiento Operativo Federal</t>
  </si>
  <si>
    <t>FIDEICOMISO DE ADMINISTRACION FONDO PARA EL FORTALECIMIENTO OPERATIVO FEDERAL  -</t>
  </si>
  <si>
    <t>CP FFDP  CAMESA 35 FONDO FIDUCIARIO DE DESARROLLO PROVINCIAL- CAMESA-</t>
  </si>
  <si>
    <t>FONDO FIDUCIARIO PARA EL DESARROLLO PROVINCIAL  FID. FIN.</t>
  </si>
  <si>
    <t>CP BIRF-7853 29 BIRF-Nº 7853- AR-SWAP</t>
  </si>
  <si>
    <t xml:space="preserve"> CE-0001</t>
  </si>
  <si>
    <t>CP FDO KUWAITI  FONDO KUWUATI  PARA  EL  DESARROLLO ECONOMICO ARABE</t>
  </si>
  <si>
    <t>CP BIRF Nº 7597-AR  PROSAP_BIRF 7597-AR</t>
  </si>
  <si>
    <t>CP BID 3806/OC-AR  PROGRAMA DE SERVICIOS AGRICOLAS DE LA PROVINCIA(PROSAP-IV)</t>
  </si>
  <si>
    <t>CP FIDA 713  BID 899-OC-AR  y 1956-OC-AR--FIDA 713</t>
  </si>
  <si>
    <t>CP BID-AR -L-1022-  PROG.   PARA EL DES. DE LA PRODUCCION Y EL EMPLEO-BID-AR-L-1022-BID -OC-AR 1798</t>
  </si>
  <si>
    <t>CP BID-940-OC-AR 13 BID-940-OC-AR-Program Mejoramiento de Barrios</t>
  </si>
  <si>
    <t>CP BID 2763-OC-AR-  PROGRAMA DE CREDITO PARA EL DESARRLLO DE LA PRODUCCION DE LA PCIA</t>
  </si>
  <si>
    <t>CP BID-2573-OC-AR  BID -2573-OC-AR</t>
  </si>
  <si>
    <t>GOBIERNO DE LA NACIÓN ARGENTINA ( ORG INTERNACIONALES)  O.P.</t>
  </si>
  <si>
    <t>Débito Bancario CE-0001 Cuenta Escritural Tesorería Gral.</t>
  </si>
  <si>
    <t>Pago CUT CE-0001 Cuenta Escritural Tesorería Gral.</t>
  </si>
  <si>
    <t>CP PLAN J607314 32 PLAN DE PAGOS J 607314</t>
  </si>
  <si>
    <t>ADMINISTRACION FEDERAL DE INGRESOS PUBLICOS  O.P.</t>
  </si>
  <si>
    <t>CP A.F.I.P.VALES  A.F.I.P. Decreto Nº 0382-Convenio de Regularización de Deuda</t>
  </si>
  <si>
    <t>CP FGS 31 FONDO DE GARANTIA DE SUSTENTABILIDAD</t>
  </si>
  <si>
    <t>ANSES  O.P.</t>
  </si>
  <si>
    <t>CP MAYORES_COSTOS  COMPROMISO DE PAGO MAYORES COSTOS</t>
  </si>
  <si>
    <t>Rótulos de fila</t>
  </si>
  <si>
    <t>Total general</t>
  </si>
  <si>
    <t>Suma de Pagado</t>
  </si>
  <si>
    <t>Valores</t>
  </si>
  <si>
    <t>Suma de Campo1</t>
  </si>
  <si>
    <t>Capital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</si>
  <si>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cotización:$76,18 (</t>
    </r>
    <r>
      <rPr>
        <i/>
        <sz val="10"/>
        <rFont val="Arial"/>
        <family val="2"/>
      </rPr>
      <t>Cotización del dólar al  30/09/2020)</t>
    </r>
  </si>
  <si>
    <t>SEPTIEMBRE 2020</t>
  </si>
  <si>
    <t>MENSUAL</t>
  </si>
  <si>
    <t>A SEPTIEMBRE 2020</t>
  </si>
  <si>
    <t>Deuda Flotante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</si>
</sst>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Lucida Sans Unicode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3" fillId="0" borderId="0" applyFill="0" applyBorder="0" applyAlignment="0" applyProtection="0"/>
    <xf numFmtId="0" fontId="10" fillId="22" borderId="0" applyNumberFormat="0" applyBorder="0" applyAlignment="0" applyProtection="0"/>
    <xf numFmtId="0" fontId="23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9">
    <xf numFmtId="0" fontId="0" fillId="0" borderId="0" xfId="0"/>
    <xf numFmtId="0" fontId="18" fillId="0" borderId="0" xfId="0" applyFont="1" applyBorder="1" applyAlignment="1">
      <alignment horizontal="left"/>
    </xf>
    <xf numFmtId="166" fontId="0" fillId="0" borderId="0" xfId="32" applyNumberFormat="1" applyFont="1" applyFill="1" applyBorder="1" applyAlignment="1" applyProtection="1"/>
    <xf numFmtId="166" fontId="19" fillId="0" borderId="0" xfId="0" applyNumberFormat="1" applyFont="1" applyBorder="1"/>
    <xf numFmtId="3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166" fontId="22" fillId="0" borderId="0" xfId="32" applyNumberFormat="1" applyFont="1" applyFill="1" applyBorder="1" applyAlignment="1" applyProtection="1"/>
    <xf numFmtId="0" fontId="0" fillId="0" borderId="0" xfId="0" applyFont="1" applyFill="1" applyBorder="1"/>
    <xf numFmtId="0" fontId="19" fillId="0" borderId="0" xfId="0" applyFont="1"/>
    <xf numFmtId="0" fontId="0" fillId="0" borderId="0" xfId="0" applyFont="1"/>
    <xf numFmtId="0" fontId="19" fillId="0" borderId="13" xfId="0" applyFont="1" applyBorder="1" applyAlignment="1">
      <alignment horizontal="center"/>
    </xf>
    <xf numFmtId="3" fontId="19" fillId="0" borderId="14" xfId="0" applyNumberFormat="1" applyFont="1" applyBorder="1"/>
    <xf numFmtId="0" fontId="19" fillId="0" borderId="15" xfId="0" applyFont="1" applyBorder="1" applyAlignment="1">
      <alignment horizontal="center"/>
    </xf>
    <xf numFmtId="0" fontId="0" fillId="0" borderId="17" xfId="0" applyFont="1" applyFill="1" applyBorder="1"/>
    <xf numFmtId="0" fontId="0" fillId="0" borderId="17" xfId="0" applyFill="1" applyBorder="1"/>
    <xf numFmtId="0" fontId="19" fillId="0" borderId="18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9" fillId="0" borderId="19" xfId="0" applyFont="1" applyBorder="1" applyAlignment="1">
      <alignment horizontal="center"/>
    </xf>
    <xf numFmtId="166" fontId="0" fillId="0" borderId="12" xfId="32" applyNumberFormat="1" applyFont="1" applyFill="1" applyBorder="1" applyAlignment="1" applyProtection="1"/>
    <xf numFmtId="164" fontId="19" fillId="0" borderId="18" xfId="0" applyNumberFormat="1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6" fontId="19" fillId="0" borderId="23" xfId="32" applyNumberFormat="1" applyFont="1" applyFill="1" applyBorder="1" applyAlignment="1" applyProtection="1">
      <alignment horizontal="right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4" fontId="19" fillId="0" borderId="29" xfId="0" applyNumberFormat="1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Font="1" applyBorder="1"/>
    <xf numFmtId="3" fontId="19" fillId="0" borderId="13" xfId="0" applyNumberFormat="1" applyFont="1" applyBorder="1"/>
    <xf numFmtId="166" fontId="0" fillId="0" borderId="12" xfId="32" applyNumberFormat="1" applyFont="1" applyFill="1" applyBorder="1" applyAlignment="1" applyProtection="1">
      <alignment horizontal="center"/>
    </xf>
    <xf numFmtId="164" fontId="19" fillId="0" borderId="29" xfId="0" applyNumberFormat="1" applyFont="1" applyFill="1" applyBorder="1" applyAlignment="1"/>
    <xf numFmtId="0" fontId="19" fillId="0" borderId="12" xfId="0" applyFont="1" applyFill="1" applyBorder="1" applyAlignment="1"/>
    <xf numFmtId="166" fontId="19" fillId="0" borderId="23" xfId="32" applyNumberFormat="1" applyFont="1" applyFill="1" applyBorder="1" applyAlignment="1" applyProtection="1"/>
    <xf numFmtId="3" fontId="19" fillId="0" borderId="13" xfId="0" applyNumberFormat="1" applyFont="1" applyBorder="1" applyAlignment="1"/>
    <xf numFmtId="14" fontId="19" fillId="0" borderId="13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6" fontId="0" fillId="24" borderId="12" xfId="32" applyNumberFormat="1" applyFont="1" applyFill="1" applyBorder="1" applyAlignment="1" applyProtection="1"/>
    <xf numFmtId="166" fontId="19" fillId="0" borderId="34" xfId="0" applyNumberFormat="1" applyFont="1" applyBorder="1" applyAlignment="1">
      <alignment horizontal="right"/>
    </xf>
    <xf numFmtId="17" fontId="0" fillId="0" borderId="17" xfId="0" applyNumberFormat="1" applyFont="1" applyFill="1" applyBorder="1" applyAlignment="1">
      <alignment horizontal="center"/>
    </xf>
    <xf numFmtId="166" fontId="24" fillId="25" borderId="12" xfId="19" applyNumberFormat="1" applyFont="1" applyFill="1" applyBorder="1" applyAlignment="1" applyProtection="1"/>
    <xf numFmtId="0" fontId="0" fillId="0" borderId="35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66" fontId="19" fillId="0" borderId="36" xfId="32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31" applyFill="1" applyBorder="1" applyAlignment="1">
      <alignment horizontal="left"/>
    </xf>
    <xf numFmtId="0" fontId="9" fillId="0" borderId="17" xfId="31" applyFill="1" applyBorder="1" applyAlignment="1">
      <alignment horizontal="center"/>
    </xf>
    <xf numFmtId="166" fontId="9" fillId="0" borderId="12" xfId="31" applyNumberFormat="1" applyFill="1" applyBorder="1" applyAlignment="1" applyProtection="1"/>
    <xf numFmtId="0" fontId="9" fillId="0" borderId="0" xfId="31" applyFill="1"/>
    <xf numFmtId="0" fontId="0" fillId="0" borderId="17" xfId="0" applyFill="1" applyBorder="1" applyAlignment="1">
      <alignment horizontal="left"/>
    </xf>
    <xf numFmtId="0" fontId="19" fillId="0" borderId="2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6" fontId="19" fillId="0" borderId="16" xfId="32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6" fontId="0" fillId="0" borderId="17" xfId="32" applyNumberFormat="1" applyFont="1" applyFill="1" applyBorder="1" applyAlignment="1" applyProtection="1">
      <alignment horizontal="center" vertical="center"/>
    </xf>
    <xf numFmtId="166" fontId="0" fillId="0" borderId="12" xfId="32" applyNumberFormat="1" applyFont="1" applyFill="1" applyBorder="1" applyAlignment="1" applyProtection="1">
      <alignment horizontal="center" vertical="center"/>
    </xf>
    <xf numFmtId="166" fontId="24" fillId="25" borderId="17" xfId="19" applyNumberFormat="1" applyFont="1" applyFill="1" applyBorder="1" applyAlignment="1" applyProtection="1">
      <alignment horizontal="center" vertical="center"/>
    </xf>
    <xf numFmtId="166" fontId="0" fillId="25" borderId="17" xfId="32" applyNumberFormat="1" applyFont="1" applyFill="1" applyBorder="1" applyAlignment="1" applyProtection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166" fontId="19" fillId="0" borderId="18" xfId="32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 vertical="center"/>
    </xf>
    <xf numFmtId="167" fontId="0" fillId="0" borderId="17" xfId="32" applyNumberFormat="1" applyFont="1" applyFill="1" applyBorder="1" applyAlignment="1" applyProtection="1">
      <alignment horizontal="center" vertical="center"/>
    </xf>
    <xf numFmtId="166" fontId="9" fillId="0" borderId="17" xfId="31" applyNumberFormat="1" applyFill="1" applyBorder="1" applyAlignment="1" applyProtection="1">
      <alignment horizontal="center" vertical="center"/>
    </xf>
    <xf numFmtId="166" fontId="9" fillId="0" borderId="12" xfId="31" applyNumberFormat="1" applyFill="1" applyBorder="1" applyAlignment="1" applyProtection="1">
      <alignment horizontal="center" vertical="center"/>
    </xf>
    <xf numFmtId="165" fontId="0" fillId="0" borderId="19" xfId="32" applyFont="1" applyFill="1" applyBorder="1" applyAlignment="1" applyProtection="1">
      <alignment horizontal="center" vertical="center"/>
    </xf>
    <xf numFmtId="166" fontId="0" fillId="0" borderId="19" xfId="32" applyNumberFormat="1" applyFont="1" applyFill="1" applyBorder="1" applyAlignment="1" applyProtection="1">
      <alignment horizontal="center" vertical="center"/>
    </xf>
    <xf numFmtId="165" fontId="0" fillId="0" borderId="23" xfId="32" applyFont="1" applyFill="1" applyBorder="1" applyAlignment="1" applyProtection="1">
      <alignment horizontal="center" vertical="center"/>
    </xf>
    <xf numFmtId="166" fontId="22" fillId="0" borderId="19" xfId="32" applyNumberFormat="1" applyFont="1" applyFill="1" applyBorder="1" applyAlignment="1" applyProtection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166" fontId="0" fillId="0" borderId="24" xfId="32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6" fontId="0" fillId="0" borderId="12" xfId="0" applyNumberFormat="1" applyFont="1" applyFill="1" applyBorder="1" applyAlignment="1"/>
    <xf numFmtId="166" fontId="9" fillId="0" borderId="12" xfId="31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horizontal="center" vertical="center"/>
    </xf>
    <xf numFmtId="166" fontId="19" fillId="0" borderId="20" xfId="32" applyNumberFormat="1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65" fontId="19" fillId="0" borderId="37" xfId="0" applyNumberFormat="1" applyFont="1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23" fillId="0" borderId="0" xfId="32"/>
    <xf numFmtId="0" fontId="10" fillId="22" borderId="28" xfId="33" applyBorder="1" applyAlignment="1">
      <alignment horizontal="center" vertical="center"/>
    </xf>
    <xf numFmtId="0" fontId="10" fillId="22" borderId="13" xfId="33" applyBorder="1" applyAlignment="1">
      <alignment horizontal="center" vertical="center"/>
    </xf>
    <xf numFmtId="164" fontId="10" fillId="22" borderId="29" xfId="33" applyNumberFormat="1" applyBorder="1" applyAlignment="1"/>
    <xf numFmtId="164" fontId="10" fillId="22" borderId="16" xfId="33" applyNumberFormat="1" applyBorder="1" applyAlignment="1">
      <alignment horizontal="center" vertical="center"/>
    </xf>
    <xf numFmtId="166" fontId="10" fillId="22" borderId="16" xfId="33" applyNumberFormat="1" applyBorder="1" applyAlignment="1">
      <alignment horizontal="center" vertical="center"/>
    </xf>
    <xf numFmtId="164" fontId="10" fillId="22" borderId="29" xfId="33" applyNumberFormat="1" applyBorder="1" applyAlignment="1">
      <alignment horizontal="center" vertical="center"/>
    </xf>
    <xf numFmtId="166" fontId="10" fillId="22" borderId="36" xfId="33" applyNumberFormat="1" applyBorder="1" applyAlignment="1">
      <alignment horizontal="center" vertical="center"/>
    </xf>
    <xf numFmtId="166" fontId="10" fillId="22" borderId="12" xfId="33" applyNumberFormat="1" applyBorder="1" applyAlignment="1" applyProtection="1"/>
    <xf numFmtId="166" fontId="10" fillId="22" borderId="17" xfId="33" applyNumberFormat="1" applyBorder="1" applyAlignment="1" applyProtection="1">
      <alignment horizontal="center" vertical="center"/>
    </xf>
    <xf numFmtId="166" fontId="10" fillId="22" borderId="12" xfId="33" applyNumberFormat="1" applyBorder="1" applyAlignment="1" applyProtection="1">
      <alignment horizontal="center" vertical="center"/>
    </xf>
    <xf numFmtId="164" fontId="10" fillId="22" borderId="18" xfId="33" applyNumberFormat="1" applyBorder="1" applyAlignment="1">
      <alignment horizontal="center"/>
    </xf>
    <xf numFmtId="164" fontId="10" fillId="22" borderId="18" xfId="33" applyNumberFormat="1" applyBorder="1" applyAlignment="1">
      <alignment horizontal="center" vertical="center"/>
    </xf>
    <xf numFmtId="166" fontId="10" fillId="22" borderId="18" xfId="33" applyNumberFormat="1" applyBorder="1" applyAlignment="1">
      <alignment horizontal="center" vertical="center"/>
    </xf>
    <xf numFmtId="164" fontId="10" fillId="22" borderId="30" xfId="33" applyNumberFormat="1" applyBorder="1" applyAlignment="1">
      <alignment horizontal="center" vertical="center"/>
    </xf>
    <xf numFmtId="166" fontId="10" fillId="22" borderId="12" xfId="33" applyNumberFormat="1" applyBorder="1" applyAlignment="1" applyProtection="1">
      <alignment horizontal="center"/>
    </xf>
    <xf numFmtId="164" fontId="10" fillId="22" borderId="32" xfId="33" applyNumberFormat="1" applyBorder="1" applyAlignment="1">
      <alignment vertical="center"/>
    </xf>
    <xf numFmtId="164" fontId="10" fillId="22" borderId="20" xfId="33" applyNumberFormat="1" applyBorder="1" applyAlignment="1">
      <alignment horizontal="center" vertical="center"/>
    </xf>
    <xf numFmtId="166" fontId="10" fillId="22" borderId="20" xfId="33" applyNumberFormat="1" applyBorder="1" applyAlignment="1">
      <alignment horizontal="center" vertical="center"/>
    </xf>
    <xf numFmtId="164" fontId="10" fillId="22" borderId="32" xfId="33" applyNumberFormat="1" applyBorder="1" applyAlignment="1">
      <alignment horizontal="center" vertical="center"/>
    </xf>
    <xf numFmtId="167" fontId="10" fillId="22" borderId="17" xfId="33" applyNumberFormat="1" applyBorder="1" applyAlignment="1" applyProtection="1">
      <alignment horizontal="center" vertical="center"/>
    </xf>
    <xf numFmtId="0" fontId="10" fillId="22" borderId="12" xfId="33" applyBorder="1" applyAlignment="1"/>
    <xf numFmtId="166" fontId="10" fillId="22" borderId="23" xfId="33" applyNumberFormat="1" applyBorder="1" applyAlignment="1" applyProtection="1"/>
    <xf numFmtId="165" fontId="10" fillId="22" borderId="19" xfId="33" applyNumberFormat="1" applyBorder="1" applyAlignment="1" applyProtection="1">
      <alignment horizontal="center" vertical="center"/>
    </xf>
    <xf numFmtId="166" fontId="10" fillId="22" borderId="19" xfId="33" applyNumberFormat="1" applyBorder="1" applyAlignment="1" applyProtection="1">
      <alignment horizontal="center" vertical="center"/>
    </xf>
    <xf numFmtId="165" fontId="10" fillId="22" borderId="23" xfId="33" applyNumberFormat="1" applyBorder="1" applyAlignment="1" applyProtection="1">
      <alignment horizontal="center" vertical="center"/>
    </xf>
    <xf numFmtId="166" fontId="10" fillId="22" borderId="34" xfId="33" applyNumberFormat="1" applyBorder="1" applyAlignment="1">
      <alignment horizontal="right"/>
    </xf>
    <xf numFmtId="166" fontId="10" fillId="22" borderId="34" xfId="33" applyNumberFormat="1" applyBorder="1" applyAlignment="1">
      <alignment horizontal="center" vertical="center"/>
    </xf>
    <xf numFmtId="3" fontId="10" fillId="22" borderId="13" xfId="33" applyNumberFormat="1" applyBorder="1" applyAlignment="1"/>
    <xf numFmtId="3" fontId="10" fillId="22" borderId="24" xfId="33" applyNumberFormat="1" applyBorder="1" applyAlignment="1">
      <alignment horizontal="center" vertical="center"/>
    </xf>
    <xf numFmtId="166" fontId="10" fillId="22" borderId="24" xfId="33" applyNumberFormat="1" applyBorder="1" applyAlignment="1">
      <alignment horizontal="center" vertical="center"/>
    </xf>
    <xf numFmtId="3" fontId="10" fillId="22" borderId="13" xfId="33" applyNumberFormat="1" applyBorder="1" applyAlignment="1">
      <alignment horizontal="center" vertical="center"/>
    </xf>
    <xf numFmtId="0" fontId="19" fillId="0" borderId="28" xfId="0" applyFont="1" applyFill="1" applyBorder="1" applyAlignment="1">
      <alignment horizontal="center"/>
    </xf>
    <xf numFmtId="0" fontId="19" fillId="24" borderId="10" xfId="0" applyFont="1" applyFill="1" applyBorder="1"/>
    <xf numFmtId="0" fontId="19" fillId="24" borderId="10" xfId="0" applyFont="1" applyFill="1" applyBorder="1" applyAlignment="1">
      <alignment horizontal="center"/>
    </xf>
    <xf numFmtId="166" fontId="19" fillId="24" borderId="11" xfId="0" applyNumberFormat="1" applyFont="1" applyFill="1" applyBorder="1"/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166" fontId="0" fillId="24" borderId="11" xfId="32" applyNumberFormat="1" applyFont="1" applyFill="1" applyBorder="1" applyAlignment="1" applyProtection="1"/>
    <xf numFmtId="0" fontId="0" fillId="24" borderId="10" xfId="0" applyFont="1" applyFill="1" applyBorder="1"/>
    <xf numFmtId="0" fontId="0" fillId="24" borderId="10" xfId="0" applyFont="1" applyFill="1" applyBorder="1" applyAlignment="1">
      <alignment horizontal="center"/>
    </xf>
    <xf numFmtId="0" fontId="0" fillId="24" borderId="31" xfId="0" applyFont="1" applyFill="1" applyBorder="1"/>
    <xf numFmtId="0" fontId="0" fillId="24" borderId="31" xfId="0" applyFont="1" applyFill="1" applyBorder="1" applyAlignment="1">
      <alignment horizontal="center"/>
    </xf>
    <xf numFmtId="166" fontId="0" fillId="24" borderId="31" xfId="32" applyNumberFormat="1" applyFont="1" applyFill="1" applyBorder="1" applyAlignment="1" applyProtection="1"/>
    <xf numFmtId="3" fontId="19" fillId="0" borderId="39" xfId="0" applyNumberFormat="1" applyFont="1" applyBorder="1" applyAlignment="1">
      <alignment horizontal="center" vertical="center"/>
    </xf>
    <xf numFmtId="0" fontId="25" fillId="24" borderId="33" xfId="39" applyFont="1" applyFill="1" applyBorder="1" applyAlignment="1">
      <alignment horizontal="center"/>
    </xf>
    <xf numFmtId="0" fontId="25" fillId="24" borderId="26" xfId="39" applyFont="1" applyFill="1" applyBorder="1" applyAlignment="1">
      <alignment horizontal="center"/>
    </xf>
    <xf numFmtId="0" fontId="25" fillId="24" borderId="27" xfId="39" applyFont="1" applyFill="1" applyBorder="1" applyAlignment="1">
      <alignment horizontal="center"/>
    </xf>
    <xf numFmtId="49" fontId="10" fillId="22" borderId="12" xfId="33" applyNumberFormat="1" applyBorder="1" applyAlignment="1">
      <alignment horizontal="center"/>
    </xf>
    <xf numFmtId="49" fontId="10" fillId="22" borderId="14" xfId="33" applyNumberFormat="1" applyBorder="1" applyAlignment="1">
      <alignment horizontal="center"/>
    </xf>
    <xf numFmtId="49" fontId="10" fillId="22" borderId="38" xfId="33" applyNumberFormat="1" applyBorder="1" applyAlignment="1">
      <alignment horizontal="center"/>
    </xf>
    <xf numFmtId="0" fontId="10" fillId="22" borderId="15" xfId="33" applyBorder="1" applyAlignment="1">
      <alignment horizontal="center" wrapText="1"/>
    </xf>
    <xf numFmtId="0" fontId="10" fillId="22" borderId="24" xfId="33" applyBorder="1" applyAlignment="1">
      <alignment horizontal="center" wrapText="1"/>
    </xf>
    <xf numFmtId="17" fontId="10" fillId="22" borderId="26" xfId="33" applyNumberFormat="1" applyBorder="1" applyAlignment="1">
      <alignment horizontal="center" vertical="center"/>
    </xf>
    <xf numFmtId="17" fontId="10" fillId="22" borderId="27" xfId="33" applyNumberForma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" fontId="19" fillId="0" borderId="14" xfId="0" applyNumberFormat="1" applyFont="1" applyFill="1" applyBorder="1" applyAlignment="1">
      <alignment horizontal="center" vertical="center"/>
    </xf>
    <xf numFmtId="17" fontId="19" fillId="0" borderId="33" xfId="0" applyNumberFormat="1" applyFont="1" applyFill="1" applyBorder="1" applyAlignment="1">
      <alignment horizontal="center" vertical="center"/>
    </xf>
    <xf numFmtId="17" fontId="19" fillId="0" borderId="27" xfId="0" applyNumberFormat="1" applyFont="1" applyFill="1" applyBorder="1" applyAlignment="1">
      <alignment horizontal="center" vertical="center"/>
    </xf>
    <xf numFmtId="0" fontId="10" fillId="22" borderId="35" xfId="33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alinas" refreshedDate="44026.458658217591" createdVersion="3" refreshedVersion="3" minRefreshableVersion="3" recordCount="69">
  <cacheSource type="worksheet">
    <worksheetSource ref="A1:J70" sheet="Hoja1"/>
  </cacheSource>
  <cacheFields count="11">
    <cacheField name="F.Aprobado" numFmtId="14">
      <sharedItems containsSemiMixedTypes="0" containsNonDate="0" containsDate="1" containsString="0" minDate="2020-01-27T00:00:00" maxDate="2020-06-30T00:00:00"/>
    </cacheField>
    <cacheField name="Comprob." numFmtId="0">
      <sharedItems containsSemiMixedTypes="0" containsString="0" containsNumber="1" containsInteger="1" minValue="1509363" maxValue="1534298"/>
    </cacheField>
    <cacheField name="Documento" numFmtId="0">
      <sharedItems count="16">
        <s v="CP PDPA-D660- 33 PROGRAMA DE DESENDEUDAMIENTO DE LAS PROVINCIAS ARGENTINAS"/>
        <s v="CP PROFEDESS  PROFEDESS - Fondo para el Fortalecimiento Operativo Federal"/>
        <s v="CP FFDP  CAMESA 35 FONDO FIDUCIARIO DE DESARROLLO PROVINCIAL- CAMESA-"/>
        <s v="CP FIDA 713  BID 899-OC-AR  y 1956-OC-AR--FIDA 713"/>
        <s v="CP BID-940-OC-AR 13 BID-940-OC-AR-Program Mejoramiento de Barrios"/>
        <s v="CP BID 2763-OC-AR-  PROGRAMA DE CREDITO PARA EL DESARRLLO DE LA PRODUCCION DE LA PCIA"/>
        <s v="CP FDO KUWAITI  FONDO KUWUATI  PARA  EL  DESARROLLO ECONOMICO ARABE"/>
        <s v="CP BID 3806/OC-AR  PROGRAMA DE SERVICIOS AGRICOLAS DE LA PROVINCIA(PROSAP-IV)"/>
        <s v="CP BID-2573-OC-AR  BID -2573-OC-AR"/>
        <s v="CP BID-AR -L-1022-  PROG.   PARA EL DES. DE LA PRODUCCION Y EL EMPLEO-BID-AR-L-1022-BID -OC-AR 1798"/>
        <s v="CP BIRF-7853 29 BIRF-Nº 7853- AR-SWAP"/>
        <s v="CP BIRF Nº 7597-AR  PROSAP_BIRF 7597-AR"/>
        <s v="CP PLAN J607314 32 PLAN DE PAGOS J 607314"/>
        <s v="CP A.F.I.P.VALES  A.F.I.P. Decreto Nº 0382-Convenio de Regularización de Deuda"/>
        <s v="CP FGS 31 FONDO DE GARANTIA DE SUSTENTABILIDAD"/>
        <s v="CP MAYORES_COSTOS  COMPROMISO DE PAGO MAYORES COSTOS"/>
      </sharedItems>
    </cacheField>
    <cacheField name="Item" numFmtId="0">
      <sharedItems count="3">
        <s v="Intereses"/>
        <s v="Amortización"/>
        <s v="Capital"/>
      </sharedItems>
    </cacheField>
    <cacheField name="Pagado" numFmtId="0">
      <sharedItems containsSemiMixedTypes="0" containsString="0" containsNumber="1" minValue="-98805123.239999995" maxValue="186896959.71000001"/>
    </cacheField>
    <cacheField name="NºPago" numFmtId="0">
      <sharedItems containsSemiMixedTypes="0" containsString="0" containsNumber="1" containsInteger="1" minValue="1955514" maxValue="2009641"/>
    </cacheField>
    <cacheField name="Referencia" numFmtId="0">
      <sharedItems/>
    </cacheField>
    <cacheField name="Cta. Pagadora" numFmtId="0">
      <sharedItems containsBlank="1"/>
    </cacheField>
    <cacheField name="Dest." numFmtId="0">
      <sharedItems/>
    </cacheField>
    <cacheField name="Inst.de Pago" numFmtId="0">
      <sharedItems/>
    </cacheField>
    <cacheField name="Campo1" numFmtId="0" formula="Pagado/1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d v="2020-02-27T00:00:00"/>
    <n v="1514136"/>
    <x v="0"/>
    <x v="0"/>
    <n v="3840519.12"/>
    <n v="1966040"/>
    <s v="Liq al Prov"/>
    <m/>
    <s v="GOBIERNO DE LA NACIÓN ARGENTINA  O.P."/>
    <s v="Desc. Coparticipación Nac. Crédito Público"/>
  </r>
  <r>
    <d v="2020-05-08T00:00:00"/>
    <n v="1525245"/>
    <x v="1"/>
    <x v="0"/>
    <n v="200379.3"/>
    <n v="1992447"/>
    <s v="Liq al Prov"/>
    <m/>
    <s v="FIDEICOMISO DE ADMINISTRACION FONDO PARA EL FORTALECIMIENTO OPERATIVO FEDERAL  -"/>
    <s v="Desc. Coparticipación Nac. Crédito Público"/>
  </r>
  <r>
    <d v="2020-05-15T00:00:00"/>
    <n v="1526407"/>
    <x v="0"/>
    <x v="0"/>
    <n v="3887924.63"/>
    <n v="1994498"/>
    <s v="Liq al Prov"/>
    <m/>
    <s v="GOBIERNO DE LA NACIÓN ARGENTINA  O.P."/>
    <s v="Desc. Coparticipación Nac. Crédito Público"/>
  </r>
  <r>
    <d v="2020-04-29T00:00:00"/>
    <n v="1523967"/>
    <x v="0"/>
    <x v="0"/>
    <n v="4053374.66"/>
    <n v="1987272"/>
    <s v="Liq al Prov"/>
    <m/>
    <s v="GOBIERNO DE LA NACIÓN ARGENTINA  O.P."/>
    <s v="Desc. Coparticipación Nac. Crédito Público"/>
  </r>
  <r>
    <d v="2020-02-27T00:00:00"/>
    <n v="1514134"/>
    <x v="2"/>
    <x v="0"/>
    <n v="44078494.890000001"/>
    <n v="1966032"/>
    <s v="Liq al Prov"/>
    <m/>
    <s v="FONDO FIDUCIARIO PARA EL DESARROLLO PROVINCIAL  FID. FIN."/>
    <s v="Desc. Coparticipación Nac. Crédito Público"/>
  </r>
  <r>
    <d v="2020-06-29T00:00:00"/>
    <n v="1534298"/>
    <x v="1"/>
    <x v="0"/>
    <n v="196849.66"/>
    <n v="2009641"/>
    <s v="Liq al Prov"/>
    <m/>
    <s v="FIDEICOMISO DE ADMINISTRACION FONDO PARA EL FORTALECIMIENTO OPERATIVO FEDERAL  -"/>
    <s v="Desc. Coparticipación Nac. Crédito Público"/>
  </r>
  <r>
    <d v="2020-03-27T00:00:00"/>
    <n v="1519603"/>
    <x v="0"/>
    <x v="0"/>
    <n v="4357428.95"/>
    <n v="1977864"/>
    <s v="Liq al Prov"/>
    <m/>
    <s v="GOBIERNO DE LA NACIÓN ARGENTINA  O.P."/>
    <s v="Desc. Coparticipación Nac. Crédito Público"/>
  </r>
  <r>
    <d v="2020-05-08T00:00:00"/>
    <n v="1525244"/>
    <x v="1"/>
    <x v="0"/>
    <n v="199558.97"/>
    <n v="1992446"/>
    <s v="Liq al Prov"/>
    <m/>
    <s v="FIDEICOMISO DE ADMINISTRACION FONDO PARA EL FORTALECIMIENTO OPERATIVO FEDERAL  -"/>
    <s v="Desc. Coparticipación Nac. Crédito Público"/>
  </r>
  <r>
    <d v="2020-01-27T00:00:00"/>
    <n v="1509365"/>
    <x v="0"/>
    <x v="0"/>
    <n v="4285122.76"/>
    <n v="1955516"/>
    <s v="Liq al Prov"/>
    <m/>
    <s v="GOBIERNO DE LA NACIÓN ARGENTINA  O.P."/>
    <s v="Desc. Coparticipación Nac. Crédito Público"/>
  </r>
  <r>
    <d v="2020-06-29T00:00:00"/>
    <n v="1534130"/>
    <x v="1"/>
    <x v="0"/>
    <n v="192924.79999999999"/>
    <n v="2009094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0"/>
    <n v="4258013.53"/>
    <n v="2009092"/>
    <s v="Liq al Prov"/>
    <m/>
    <s v="GOBIERNO DE LA NACIÓN ARGENTINA  O.P."/>
    <s v="Desc. Coparticipación Nac. Crédito Público"/>
  </r>
  <r>
    <d v="2020-01-30T00:00:00"/>
    <n v="1510070"/>
    <x v="1"/>
    <x v="0"/>
    <n v="175750.63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0"/>
    <n v="203941.42"/>
    <n v="1992444"/>
    <s v="Liq al Prov"/>
    <m/>
    <s v="FIDEICOMISO DE ADMINISTRACION FONDO PARA EL FORTALECIMIENTO OPERATIVO FEDERAL  -"/>
    <s v="Desc. Coparticipación Nac. Crédito Público"/>
  </r>
  <r>
    <d v="2020-03-27T00:00:00"/>
    <n v="1519599"/>
    <x v="2"/>
    <x v="0"/>
    <n v="45603980.149999999"/>
    <n v="1977862"/>
    <s v="Liq al Prov"/>
    <m/>
    <s v="FONDO FIDUCIARIO PARA EL DESARROLLO PROVINCIAL  FID. FIN."/>
    <s v="Desc. Coparticipación Nac. Crédito Público"/>
  </r>
  <r>
    <d v="2020-01-27T00:00:00"/>
    <n v="1509363"/>
    <x v="2"/>
    <x v="0"/>
    <n v="56090257.520000003"/>
    <n v="1955514"/>
    <s v="Liq al Prov"/>
    <m/>
    <s v="FONDO FIDUCIARIO PARA EL DESARROLLO PROVINCIAL  FID. FIN."/>
    <s v="Desc. Coparticipación Nac. Crédito Público"/>
  </r>
  <r>
    <d v="2020-04-07T00:00:00"/>
    <n v="1520772"/>
    <x v="3"/>
    <x v="0"/>
    <n v="134229.04999999999"/>
    <n v="1982775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0"/>
    <n v="1226335.8700000001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49244316.490000002"/>
    <n v="1994675"/>
    <s v="Liq al Prov"/>
    <m/>
    <s v="GOBIERNO DE LA NACIÓN ARGENTINA ( ORG INTERNACIONALES)  O.P."/>
    <s v="Pago CUT CE-0001 Cuenta Escritural Tesorería Gral."/>
  </r>
  <r>
    <d v="2020-05-15T00:00:00"/>
    <n v="1526448"/>
    <x v="5"/>
    <x v="0"/>
    <n v="49244316.490000002"/>
    <n v="1994681"/>
    <s v="Liq al Prov"/>
    <s v=" CE-0001"/>
    <s v="GOBIERNO DE LA NACIÓN ARGENTINA ( ORG INTERNACIONALES)  O.P."/>
    <s v="Débito Bancario CE-0001 Cuenta Escritural Tesorería Gral."/>
  </r>
  <r>
    <d v="2020-06-03T00:00:00"/>
    <n v="1529525"/>
    <x v="6"/>
    <x v="0"/>
    <n v="5283110.53"/>
    <n v="2001894"/>
    <s v="Liq al Prov"/>
    <m/>
    <s v="GOBIERNO DE LA NACIÓN ARGENTINA ( ORG INTERNACIONALES)  O.P."/>
    <s v="Desc. Coparticipación Nac. Crédito Público"/>
  </r>
  <r>
    <d v="2020-04-13T00:00:00"/>
    <n v="1521343"/>
    <x v="7"/>
    <x v="0"/>
    <n v="4229813.83"/>
    <n v="1983361"/>
    <s v="Liq al Prov"/>
    <s v=" CE-0001"/>
    <s v="GOBIERNO DE LA NACIÓN ARGENTINA ( ORG INTERNACIONALES)  O.P."/>
    <s v="Débito Bancario CE-0001 Cuenta Escritural Tesorería Gral."/>
  </r>
  <r>
    <d v="2020-06-16T00:00:00"/>
    <n v="1531596"/>
    <x v="8"/>
    <x v="0"/>
    <n v="4249486.1900000004"/>
    <n v="200591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-49244316.490000002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0"/>
    <n v="25121233.449999999"/>
    <n v="1961428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0"/>
    <n v="36092600.399999999"/>
    <n v="1963048"/>
    <s v="Liq al Prov"/>
    <s v=" CE-0001"/>
    <s v="GOBIERNO DE LA NACIÓN ARGENTINA ( ORG INTERNACIONALES)  O.P."/>
    <s v="Débito Bancario CE-0001 Cuenta Escritural Tesorería Gral."/>
  </r>
  <r>
    <d v="2020-03-27T00:00:00"/>
    <n v="1519598"/>
    <x v="6"/>
    <x v="0"/>
    <n v="33146883.98"/>
    <n v="1977861"/>
    <s v="Liq al Prov"/>
    <m/>
    <s v="GOBIERNO DE LA NACIÓN ARGENTINA ( ORG INTERNACIONALES)  O.P."/>
    <s v="Desc. Coparticipación Nac. Crédito Público"/>
  </r>
  <r>
    <d v="2020-04-03T00:00:00"/>
    <n v="1518463"/>
    <x v="11"/>
    <x v="0"/>
    <n v="25036211.43"/>
    <n v="1981319"/>
    <s v="Liq al Prov"/>
    <s v=" CE-0001"/>
    <s v="GOBIERNO DE LA NACIÓN ARGENTINA ( ORG INTERNACIONALES)  O.P."/>
    <s v="Débito Bancario CE-0001 Cuenta Escritural Tesorería Gral."/>
  </r>
  <r>
    <d v="2020-02-27T00:00:00"/>
    <n v="1514138"/>
    <x v="12"/>
    <x v="0"/>
    <n v="4774930.5999999996"/>
    <n v="1966051"/>
    <s v="Liq al Prov"/>
    <m/>
    <s v="ADMINISTRACION FEDERAL DE INGRESOS PUBLICOS  O.P."/>
    <s v="Desc. Coparticipación Nac. Crédito Público"/>
  </r>
  <r>
    <d v="2020-02-27T00:00:00"/>
    <n v="1514133"/>
    <x v="13"/>
    <x v="0"/>
    <n v="1652289.3"/>
    <n v="1966031"/>
    <s v="Liq al Prov"/>
    <m/>
    <s v="ADMINISTRACION FEDERAL DE INGRESOS PUBLICOS  O.P."/>
    <s v="Desc. Coparticipación Nac. Crédito Público"/>
  </r>
  <r>
    <d v="2020-06-29T00:00:00"/>
    <n v="1534127"/>
    <x v="14"/>
    <x v="0"/>
    <n v="1427266.71"/>
    <n v="2009090"/>
    <s v="Liq al Prov"/>
    <m/>
    <s v="ANSES  O.P."/>
    <s v="Desc. Coparticipación Nac. Crédito Público"/>
  </r>
  <r>
    <d v="2020-03-19T00:00:00"/>
    <n v="1518057"/>
    <x v="13"/>
    <x v="0"/>
    <n v="787617.81"/>
    <n v="1975251"/>
    <s v="Liq al Prov"/>
    <m/>
    <s v="ADMINISTRACION FEDERAL DE INGRESOS PUBLICOS  O.P."/>
    <s v="Desc. Coparticipación Nac. Crédito Público"/>
  </r>
  <r>
    <d v="2020-05-28T00:00:00"/>
    <n v="1528601"/>
    <x v="15"/>
    <x v="0"/>
    <n v="488717.98"/>
    <n v="1997250"/>
    <s v="Liq al Prov"/>
    <m/>
    <s v="ANSES  O.P."/>
    <s v="Desc. Coparticipación Nac. Crédito Público"/>
  </r>
  <r>
    <d v="2020-04-29T00:00:00"/>
    <n v="1523964"/>
    <x v="15"/>
    <x v="0"/>
    <n v="477682.42"/>
    <n v="1987270"/>
    <s v="Liq al Prov"/>
    <m/>
    <s v="ANSES  O.P."/>
    <s v="Desc. Coparticipación Nac. Crédito Público"/>
  </r>
  <r>
    <d v="2020-03-19T00:00:00"/>
    <n v="1518058"/>
    <x v="12"/>
    <x v="0"/>
    <n v="5397447.3399999999"/>
    <n v="1975252"/>
    <s v="Liq al Prov"/>
    <m/>
    <s v="ADMINISTRACION FEDERAL DE INGRESOS PUBLICOS  O.P."/>
    <s v="Desc. Coparticipación Nac. Crédito Público"/>
  </r>
  <r>
    <d v="2020-02-27T00:00:00"/>
    <n v="1514137"/>
    <x v="12"/>
    <x v="0"/>
    <n v="7395752.2400000002"/>
    <n v="1966045"/>
    <s v="Liq al Prov"/>
    <m/>
    <s v="ADMINISTRACION FEDERAL DE INGRESOS PUBLICOS  O.P."/>
    <s v="Desc. Coparticipación Nac. Crédito Público"/>
  </r>
  <r>
    <d v="2020-02-27T00:00:00"/>
    <n v="1514135"/>
    <x v="14"/>
    <x v="0"/>
    <n v="71624999.909999996"/>
    <n v="1966033"/>
    <s v="Liq al Prov"/>
    <m/>
    <s v="ANSES  O.P."/>
    <s v="Desc. Coparticipación Nac. Crédito Público"/>
  </r>
  <r>
    <d v="2020-01-27T00:00:00"/>
    <n v="1509364"/>
    <x v="14"/>
    <x v="0"/>
    <n v="186896959.71000001"/>
    <n v="1955515"/>
    <s v="Liq al Prov"/>
    <m/>
    <s v="ANSES  O.P."/>
    <s v="Desc. Coparticipación Nac. Crédito Público"/>
  </r>
  <r>
    <d v="2020-03-27T00:00:00"/>
    <n v="1519601"/>
    <x v="15"/>
    <x v="0"/>
    <n v="1477661.43"/>
    <n v="1977863"/>
    <s v="Liq al Prov"/>
    <m/>
    <s v="ANSES  O.P."/>
    <s v="Desc. Coparticipación Nac. Crédito Público"/>
  </r>
  <r>
    <d v="2020-04-29T00:00:00"/>
    <n v="1523963"/>
    <x v="13"/>
    <x v="0"/>
    <n v="761418.92"/>
    <n v="1987268"/>
    <s v="Liq al Prov"/>
    <m/>
    <s v="ADMINISTRACION FEDERAL DE INGRESOS PUBLICOS  O.P."/>
    <s v="Desc. Coparticipación Nac. Crédito Público"/>
  </r>
  <r>
    <d v="2020-03-27T00:00:00"/>
    <n v="1519603"/>
    <x v="0"/>
    <x v="1"/>
    <n v="6470365.1100000003"/>
    <n v="1977864"/>
    <s v="Liq al Prov"/>
    <m/>
    <s v="GOBIERNO DE LA NACIÓN ARGENTINA  O.P."/>
    <s v="Desc. Coparticipación Nac. Crédito Público"/>
  </r>
  <r>
    <d v="2020-01-27T00:00:00"/>
    <n v="1509365"/>
    <x v="0"/>
    <x v="1"/>
    <n v="6470365.1100000003"/>
    <n v="1955516"/>
    <s v="Liq al Prov"/>
    <m/>
    <s v="GOBIERNO DE LA NACIÓN ARGENTINA  O.P."/>
    <s v="Desc. Coparticipación Nac. Crédito Público"/>
  </r>
  <r>
    <d v="2020-05-08T00:00:00"/>
    <n v="1525244"/>
    <x v="1"/>
    <x v="1"/>
    <n v="434364.04"/>
    <n v="1992446"/>
    <s v="Liq al Prov"/>
    <m/>
    <s v="FIDEICOMISO DE ADMINISTRACION FONDO PARA EL FORTALECIMIENTO OPERATIVO FEDERAL  -"/>
    <s v="Desc. Coparticipación Nac. Crédito Público"/>
  </r>
  <r>
    <d v="2020-02-27T00:00:00"/>
    <n v="1514136"/>
    <x v="0"/>
    <x v="1"/>
    <n v="6470365.1100000003"/>
    <n v="1966040"/>
    <s v="Liq al Prov"/>
    <m/>
    <s v="GOBIERNO DE LA NACIÓN ARGENTINA  O.P."/>
    <s v="Desc. Coparticipación Nac. Crédito Público"/>
  </r>
  <r>
    <d v="2020-06-29T00:00:00"/>
    <n v="1534298"/>
    <x v="1"/>
    <x v="1"/>
    <n v="428466.92"/>
    <n v="2009641"/>
    <s v="Liq al Prov"/>
    <m/>
    <s v="FIDEICOMISO DE ADMINISTRACION FONDO PARA EL FORTALECIMIENTO OPERATIVO FEDERAL  -"/>
    <s v="Desc. Coparticipación Nac. Crédito Público"/>
  </r>
  <r>
    <d v="2020-05-08T00:00:00"/>
    <n v="1525245"/>
    <x v="1"/>
    <x v="1"/>
    <n v="436149.6"/>
    <n v="1992447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1"/>
    <n v="6470365.1100000003"/>
    <n v="2009092"/>
    <s v="Liq al Prov"/>
    <m/>
    <s v="GOBIERNO DE LA NACIÓN ARGENTINA  O.P."/>
    <s v="Desc. Coparticipación Nac. Crédito Público"/>
  </r>
  <r>
    <d v="2020-05-15T00:00:00"/>
    <n v="1526407"/>
    <x v="0"/>
    <x v="1"/>
    <n v="6470365.1100000003"/>
    <n v="1994498"/>
    <s v="Liq al Prov"/>
    <m/>
    <s v="GOBIERNO DE LA NACIÓN ARGENTINA  O.P."/>
    <s v="Desc. Coparticipación Nac. Crédito Público"/>
  </r>
  <r>
    <d v="2020-04-29T00:00:00"/>
    <n v="1523967"/>
    <x v="0"/>
    <x v="1"/>
    <n v="6470365.1100000003"/>
    <n v="1987272"/>
    <s v="Liq al Prov"/>
    <m/>
    <s v="GOBIERNO DE LA NACIÓN ARGENTINA  O.P."/>
    <s v="Desc. Coparticipación Nac. Crédito Público"/>
  </r>
  <r>
    <d v="2020-01-30T00:00:00"/>
    <n v="1510070"/>
    <x v="1"/>
    <x v="1"/>
    <n v="486096.02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1"/>
    <n v="443901.04"/>
    <n v="1992444"/>
    <s v="Liq al Prov"/>
    <m/>
    <s v="FIDEICOMISO DE ADMINISTRACION FONDO PARA EL FORTALECIMIENTO OPERATIVO FEDERAL  -"/>
    <s v="Desc. Coparticipación Nac. Crédito Público"/>
  </r>
  <r>
    <d v="2020-06-29T00:00:00"/>
    <n v="1534130"/>
    <x v="1"/>
    <x v="1"/>
    <n v="419924"/>
    <n v="2009094"/>
    <s v="Liq al Prov"/>
    <m/>
    <s v="FIDEICOMISO DE ADMINISTRACION FONDO PARA EL FORTALECIMIENTO OPERATIVO FEDERAL  -"/>
    <s v="Desc. Coparticipación Nac. Crédito Público"/>
  </r>
  <r>
    <d v="2020-04-07T00:00:00"/>
    <n v="1520772"/>
    <x v="3"/>
    <x v="1"/>
    <n v="1559760"/>
    <n v="198277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-98805123.239999995"/>
    <n v="1994675"/>
    <s v="Liq al Prov"/>
    <m/>
    <s v="GOBIERNO DE LA NACIÓN ARGENTINA ( ORG INTERNACIONALES)  O.P."/>
    <s v="Pago CUT CE-0001 Cuenta Escritural Tesorería Gral."/>
  </r>
  <r>
    <d v="2020-06-16T00:00:00"/>
    <n v="1531596"/>
    <x v="8"/>
    <x v="1"/>
    <n v="7456040.21"/>
    <n v="2005915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1"/>
    <n v="59803488.75"/>
    <n v="1963048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1"/>
    <n v="49917602.909999996"/>
    <n v="1961428"/>
    <s v="Liq al Prov"/>
    <s v=" CE-0001"/>
    <s v="GOBIERNO DE LA NACIÓN ARGENTINA ( ORG INTERNACIONALES)  O.P."/>
    <s v="Débito Bancario CE-0001 Cuenta Escritural Tesorería Gral."/>
  </r>
  <r>
    <d v="2020-04-03T00:00:00"/>
    <n v="1518463"/>
    <x v="11"/>
    <x v="1"/>
    <n v="46958926.020000003"/>
    <n v="1981319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1"/>
    <n v="4537978.2699999996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81"/>
    <s v="Liq al Prov"/>
    <s v=" CE-0001"/>
    <s v="GOBIERNO DE LA NACIÓN ARGENTINA ( ORG INTERNACIONALES)  O.P."/>
    <s v="Débito Bancario CE-0001 Cuenta Escritural Tesorería Gral."/>
  </r>
  <r>
    <d v="2020-04-29T00:00:00"/>
    <n v="1523963"/>
    <x v="13"/>
    <x v="2"/>
    <n v="1772791.47"/>
    <n v="1987268"/>
    <s v="Liq al Prov"/>
    <m/>
    <s v="ADMINISTRACION FEDERAL DE INGRESOS PUBLICOS  O.P."/>
    <s v="Desc. Coparticipación Nac. Crédito Público"/>
  </r>
  <r>
    <d v="2020-02-27T00:00:00"/>
    <n v="1514138"/>
    <x v="12"/>
    <x v="2"/>
    <n v="28478711.309999999"/>
    <n v="1966051"/>
    <s v="Liq al Prov"/>
    <m/>
    <s v="ADMINISTRACION FEDERAL DE INGRESOS PUBLICOS  O.P."/>
    <s v="Desc. Coparticipación Nac. Crédito Público"/>
  </r>
  <r>
    <d v="2020-02-27T00:00:00"/>
    <n v="1514133"/>
    <x v="13"/>
    <x v="2"/>
    <n v="3416131.48"/>
    <n v="1966031"/>
    <s v="Liq al Prov"/>
    <m/>
    <s v="ADMINISTRACION FEDERAL DE INGRESOS PUBLICOS  O.P."/>
    <s v="Desc. Coparticipación Nac. Crédito Público"/>
  </r>
  <r>
    <d v="2020-04-29T00:00:00"/>
    <n v="1523964"/>
    <x v="15"/>
    <x v="2"/>
    <n v="959043.35"/>
    <n v="1987270"/>
    <s v="Liq al Prov"/>
    <m/>
    <s v="ANSES  O.P."/>
    <s v="Desc. Coparticipación Nac. Crédito Público"/>
  </r>
  <r>
    <d v="2020-03-19T00:00:00"/>
    <n v="1518057"/>
    <x v="13"/>
    <x v="2"/>
    <n v="1746592.58"/>
    <n v="1975251"/>
    <s v="Liq al Prov"/>
    <m/>
    <s v="ADMINISTRACION FEDERAL DE INGRESOS PUBLICOS  O.P."/>
    <s v="Desc. Coparticipación Nac. Crédito Público"/>
  </r>
  <r>
    <d v="2020-03-27T00:00:00"/>
    <n v="1519601"/>
    <x v="15"/>
    <x v="2"/>
    <n v="2877130.08"/>
    <n v="1977863"/>
    <s v="Liq al Prov"/>
    <m/>
    <s v="ANSES  O.P."/>
    <s v="Desc. Coparticipación Nac. Crédito Público"/>
  </r>
  <r>
    <d v="2020-03-19T00:00:00"/>
    <n v="1518058"/>
    <x v="12"/>
    <x v="2"/>
    <n v="30379628.579999998"/>
    <n v="1975252"/>
    <s v="Liq al Prov"/>
    <m/>
    <s v="ADMINISTRACION FEDERAL DE INGRESOS PUBLICOS  O.P."/>
    <s v="Desc. Coparticipación Nac. Crédito Público"/>
  </r>
  <r>
    <d v="2020-02-27T00:00:00"/>
    <n v="1514137"/>
    <x v="12"/>
    <x v="2"/>
    <n v="42832541.909999996"/>
    <n v="1966045"/>
    <s v="Liq al Prov"/>
    <m/>
    <s v="ADMINISTRACION FEDERAL DE INGRESOS PUBLICOS  O.P."/>
    <s v="Desc. Coparticipación Nac. Crédito Público"/>
  </r>
  <r>
    <d v="2020-05-28T00:00:00"/>
    <n v="1528601"/>
    <x v="15"/>
    <x v="2"/>
    <n v="959043.35"/>
    <n v="1997250"/>
    <s v="Liq al Prov"/>
    <m/>
    <s v="ANSES  O.P."/>
    <s v="Desc. Coparticipación Nac. Crédito Públi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C36" firstHeaderRow="1" firstDataRow="2" firstDataCol="1"/>
  <pivotFields count="11">
    <pivotField numFmtId="14" showAll="0"/>
    <pivotField showAll="0"/>
    <pivotField axis="axisRow" showAll="0">
      <items count="17">
        <item x="13"/>
        <item x="5"/>
        <item x="7"/>
        <item x="8"/>
        <item x="4"/>
        <item x="9"/>
        <item x="11"/>
        <item x="10"/>
        <item x="6"/>
        <item x="2"/>
        <item x="14"/>
        <item x="3"/>
        <item x="15"/>
        <item x="0"/>
        <item x="12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2">
    <field x="3"/>
    <field x="2"/>
  </rowFields>
  <rowItems count="32">
    <i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3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2"/>
    </i>
    <i r="1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agado" fld="4" baseField="0" baseItem="0"/>
    <dataField name="Suma de Campo1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0"/>
  <sheetViews>
    <sheetView tabSelected="1" zoomScale="80" zoomScaleNormal="80" workbookViewId="0"/>
  </sheetViews>
  <sheetFormatPr baseColWidth="10" defaultRowHeight="12.75" x14ac:dyDescent="0.2"/>
  <cols>
    <col min="1" max="1" width="88" style="9" customWidth="1"/>
    <col min="2" max="2" width="15.140625" style="61" bestFit="1" customWidth="1"/>
    <col min="3" max="3" width="15" style="9" bestFit="1" customWidth="1"/>
    <col min="4" max="5" width="16" style="9" hidden="1" customWidth="1"/>
    <col min="6" max="6" width="16" style="9" customWidth="1"/>
    <col min="7" max="7" width="14.42578125" style="9" hidden="1" customWidth="1"/>
    <col min="8" max="8" width="13" style="9" hidden="1" customWidth="1"/>
    <col min="9" max="9" width="15" style="9" hidden="1" customWidth="1"/>
    <col min="10" max="10" width="13" style="9" hidden="1" customWidth="1"/>
    <col min="11" max="11" width="15" style="9" hidden="1" customWidth="1"/>
    <col min="12" max="12" width="16.5703125" style="9" customWidth="1"/>
    <col min="13" max="13" width="13.85546875" style="9" customWidth="1"/>
    <col min="14" max="14" width="16.28515625" style="9" bestFit="1" customWidth="1"/>
    <col min="15" max="15" width="14.28515625" style="9" bestFit="1" customWidth="1"/>
    <col min="16" max="16" width="15" style="9" bestFit="1" customWidth="1"/>
    <col min="17" max="16384" width="11.42578125" style="9"/>
  </cols>
  <sheetData>
    <row r="1" spans="1:16" ht="15.75" x14ac:dyDescent="0.25">
      <c r="A1" s="1" t="s">
        <v>37</v>
      </c>
      <c r="B1" s="55"/>
      <c r="C1" s="1"/>
      <c r="D1" s="1"/>
      <c r="E1" s="1" t="s">
        <v>10</v>
      </c>
      <c r="F1" s="1"/>
    </row>
    <row r="2" spans="1:16" ht="15.75" x14ac:dyDescent="0.25">
      <c r="A2" s="1" t="s">
        <v>28</v>
      </c>
      <c r="B2" s="55"/>
      <c r="C2" s="1"/>
      <c r="D2" s="1"/>
      <c r="E2" s="1">
        <v>74.180000000000007</v>
      </c>
      <c r="F2" s="1"/>
    </row>
    <row r="3" spans="1:16" ht="15.75" x14ac:dyDescent="0.25">
      <c r="A3" s="1"/>
      <c r="B3" s="55"/>
      <c r="C3" s="1"/>
      <c r="D3" s="1"/>
      <c r="E3" s="1">
        <v>76.180000000000007</v>
      </c>
      <c r="F3" s="1"/>
      <c r="L3" s="34"/>
      <c r="M3" s="34"/>
      <c r="N3" s="34"/>
      <c r="O3" s="34"/>
      <c r="P3" s="34"/>
    </row>
    <row r="4" spans="1:16" ht="16.5" thickBot="1" x14ac:dyDescent="0.3">
      <c r="A4" s="1" t="s">
        <v>27</v>
      </c>
      <c r="B4" s="55"/>
      <c r="C4" s="1"/>
      <c r="D4" s="1"/>
      <c r="E4" s="1"/>
      <c r="F4" s="1"/>
      <c r="G4" s="177" t="s">
        <v>122</v>
      </c>
      <c r="H4" s="177"/>
      <c r="I4" s="177"/>
      <c r="J4" s="177"/>
      <c r="K4" s="177"/>
      <c r="L4" s="178"/>
      <c r="M4" s="178"/>
      <c r="N4" s="178"/>
      <c r="O4" s="178"/>
      <c r="P4" s="178"/>
    </row>
    <row r="5" spans="1:16" ht="15.75" thickBot="1" x14ac:dyDescent="0.3">
      <c r="A5" s="166" t="s">
        <v>3</v>
      </c>
      <c r="B5" s="90" t="s">
        <v>39</v>
      </c>
      <c r="C5" s="12" t="s">
        <v>1</v>
      </c>
      <c r="D5" s="27" t="s">
        <v>2</v>
      </c>
      <c r="E5" s="27"/>
      <c r="F5" s="143" t="s">
        <v>2</v>
      </c>
      <c r="G5" s="159" t="s">
        <v>121</v>
      </c>
      <c r="H5" s="160"/>
      <c r="I5" s="160"/>
      <c r="J5" s="160"/>
      <c r="K5" s="161"/>
      <c r="L5" s="169" t="s">
        <v>123</v>
      </c>
      <c r="M5" s="170"/>
      <c r="N5" s="170"/>
      <c r="O5" s="170"/>
      <c r="P5" s="171"/>
    </row>
    <row r="6" spans="1:16" ht="13.5" customHeight="1" thickBot="1" x14ac:dyDescent="0.25">
      <c r="A6" s="167"/>
      <c r="B6" s="91" t="s">
        <v>41</v>
      </c>
      <c r="C6" s="29"/>
      <c r="D6" s="30"/>
      <c r="E6" s="30"/>
      <c r="F6" s="30"/>
      <c r="G6" s="162" t="s">
        <v>66</v>
      </c>
      <c r="H6" s="164" t="s">
        <v>30</v>
      </c>
      <c r="I6" s="164"/>
      <c r="J6" s="164" t="s">
        <v>31</v>
      </c>
      <c r="K6" s="165"/>
      <c r="L6" s="172" t="s">
        <v>66</v>
      </c>
      <c r="M6" s="174" t="s">
        <v>30</v>
      </c>
      <c r="N6" s="174"/>
      <c r="O6" s="175" t="s">
        <v>31</v>
      </c>
      <c r="P6" s="176"/>
    </row>
    <row r="7" spans="1:16" ht="15.75" thickBot="1" x14ac:dyDescent="0.25">
      <c r="A7" s="168"/>
      <c r="B7" s="92" t="s">
        <v>40</v>
      </c>
      <c r="C7" s="26" t="s">
        <v>4</v>
      </c>
      <c r="D7" s="41">
        <v>44074</v>
      </c>
      <c r="E7" s="41"/>
      <c r="F7" s="41">
        <v>44104</v>
      </c>
      <c r="G7" s="163"/>
      <c r="H7" s="112" t="s">
        <v>22</v>
      </c>
      <c r="I7" s="112" t="s">
        <v>65</v>
      </c>
      <c r="J7" s="113" t="s">
        <v>22</v>
      </c>
      <c r="K7" s="112" t="s">
        <v>65</v>
      </c>
      <c r="L7" s="173"/>
      <c r="M7" s="67" t="s">
        <v>22</v>
      </c>
      <c r="N7" s="67" t="s">
        <v>65</v>
      </c>
      <c r="O7" s="68" t="s">
        <v>22</v>
      </c>
      <c r="P7" s="67" t="s">
        <v>65</v>
      </c>
    </row>
    <row r="8" spans="1:16" ht="21" customHeight="1" thickBot="1" x14ac:dyDescent="0.3">
      <c r="A8" s="102" t="s">
        <v>76</v>
      </c>
      <c r="B8" s="42"/>
      <c r="C8" s="25"/>
      <c r="D8" s="69">
        <v>8225021.7568699997</v>
      </c>
      <c r="E8" s="31"/>
      <c r="F8" s="69">
        <f t="shared" ref="F8" si="0">(F9+F12)</f>
        <v>8218122.8706999999</v>
      </c>
      <c r="G8" s="114">
        <f t="shared" ref="G8:K8" si="1">(G9+G12)</f>
        <v>0</v>
      </c>
      <c r="H8" s="115">
        <f t="shared" si="1"/>
        <v>6898.8861699999998</v>
      </c>
      <c r="I8" s="116">
        <f t="shared" si="1"/>
        <v>5511.0220300000001</v>
      </c>
      <c r="J8" s="117">
        <f t="shared" si="1"/>
        <v>6898.8861699999998</v>
      </c>
      <c r="K8" s="115">
        <f t="shared" si="1"/>
        <v>5511.0220300000001</v>
      </c>
      <c r="L8" s="37">
        <f t="shared" ref="L8:P8" si="2">(L9+L12)</f>
        <v>0</v>
      </c>
      <c r="M8" s="69">
        <f t="shared" si="2"/>
        <v>177505.83569000001</v>
      </c>
      <c r="N8" s="70">
        <f t="shared" si="2"/>
        <v>728486.58718999999</v>
      </c>
      <c r="O8" s="71">
        <f t="shared" si="2"/>
        <v>177505.83569000001</v>
      </c>
      <c r="P8" s="69">
        <f t="shared" si="2"/>
        <v>728486.58718999999</v>
      </c>
    </row>
    <row r="9" spans="1:16" ht="18" customHeight="1" thickTop="1" x14ac:dyDescent="0.2">
      <c r="A9" s="53" t="s">
        <v>5</v>
      </c>
      <c r="B9" s="51"/>
      <c r="C9" s="51"/>
      <c r="D9" s="52">
        <v>2525396.2697799997</v>
      </c>
      <c r="E9" s="52"/>
      <c r="F9" s="52">
        <f>+F10+F11</f>
        <v>2518925.9046700001</v>
      </c>
      <c r="G9" s="118">
        <f t="shared" ref="G9" si="3">SUM(G10:G11)</f>
        <v>0</v>
      </c>
      <c r="H9" s="118">
        <f>+H10+H11</f>
        <v>6470.3651099999997</v>
      </c>
      <c r="I9" s="118">
        <f>+I10+I11</f>
        <v>3898.06286</v>
      </c>
      <c r="J9" s="118">
        <f t="shared" ref="J9" si="4">SUM(J10:J11)</f>
        <v>6470.3651099999997</v>
      </c>
      <c r="K9" s="118">
        <f>+K10+K11</f>
        <v>3898.06286</v>
      </c>
      <c r="L9" s="52">
        <f t="shared" ref="L9" si="5">SUM(L10:L11)</f>
        <v>0</v>
      </c>
      <c r="M9" s="52">
        <f>+M10+M11</f>
        <v>58233.285990000004</v>
      </c>
      <c r="N9" s="52">
        <f>+N10+N11</f>
        <v>182506.12023</v>
      </c>
      <c r="O9" s="52">
        <f t="shared" ref="O9" si="6">SUM(O10:O11)</f>
        <v>58233.285990000004</v>
      </c>
      <c r="P9" s="52">
        <f>+P10+P11</f>
        <v>182506.12023</v>
      </c>
    </row>
    <row r="10" spans="1:16" ht="15" x14ac:dyDescent="0.25">
      <c r="A10" s="13" t="s">
        <v>55</v>
      </c>
      <c r="B10" s="47" t="s">
        <v>56</v>
      </c>
      <c r="C10" s="21" t="s">
        <v>6</v>
      </c>
      <c r="D10" s="45">
        <v>1674593</v>
      </c>
      <c r="E10" s="45"/>
      <c r="F10" s="45">
        <f>+D10+G10-H10</f>
        <v>1674593</v>
      </c>
      <c r="G10" s="119">
        <v>0</v>
      </c>
      <c r="H10" s="120"/>
      <c r="I10" s="120"/>
      <c r="J10" s="120">
        <f>+H10</f>
        <v>0</v>
      </c>
      <c r="K10" s="120">
        <f>+I10</f>
        <v>0</v>
      </c>
      <c r="L10" s="48">
        <v>0</v>
      </c>
      <c r="M10" s="74"/>
      <c r="N10" s="75">
        <f>145772732.56/1000</f>
        <v>145772.73256</v>
      </c>
      <c r="O10" s="74">
        <f>+M10</f>
        <v>0</v>
      </c>
      <c r="P10" s="74">
        <f>+N10</f>
        <v>145772.73256</v>
      </c>
    </row>
    <row r="11" spans="1:16" ht="15" x14ac:dyDescent="0.25">
      <c r="A11" s="13" t="s">
        <v>58</v>
      </c>
      <c r="B11" s="47" t="s">
        <v>42</v>
      </c>
      <c r="C11" s="21" t="s">
        <v>6</v>
      </c>
      <c r="D11" s="45">
        <v>850803.26977999997</v>
      </c>
      <c r="E11" s="45"/>
      <c r="F11" s="45">
        <f>+D11+G11-H11</f>
        <v>844332.90466999996</v>
      </c>
      <c r="G11" s="119">
        <v>0</v>
      </c>
      <c r="H11" s="120">
        <v>6470.3651099999997</v>
      </c>
      <c r="I11" s="120">
        <v>3898.06286</v>
      </c>
      <c r="J11" s="120">
        <f>+H11</f>
        <v>6470.3651099999997</v>
      </c>
      <c r="K11" s="120">
        <f>+I11</f>
        <v>3898.06286</v>
      </c>
      <c r="L11" s="48">
        <v>0</v>
      </c>
      <c r="M11" s="74">
        <f>58233285.99/1000</f>
        <v>58233.285990000004</v>
      </c>
      <c r="N11" s="75">
        <f>36733387.67/1000</f>
        <v>36733.387670000004</v>
      </c>
      <c r="O11" s="74">
        <f>+M11</f>
        <v>58233.285990000004</v>
      </c>
      <c r="P11" s="74">
        <f>+N11</f>
        <v>36733.387670000004</v>
      </c>
    </row>
    <row r="12" spans="1:16" ht="18" customHeight="1" x14ac:dyDescent="0.25">
      <c r="A12" s="54" t="s">
        <v>7</v>
      </c>
      <c r="B12" s="15"/>
      <c r="C12" s="22"/>
      <c r="D12" s="76">
        <v>5699625.48709</v>
      </c>
      <c r="E12" s="20"/>
      <c r="F12" s="76">
        <f>SUM(F13:F18)</f>
        <v>5699196.9660299998</v>
      </c>
      <c r="G12" s="122">
        <f>SUM(G13:G17)</f>
        <v>0</v>
      </c>
      <c r="H12" s="123">
        <f>SUM(H13:H18)</f>
        <v>428.52105999999998</v>
      </c>
      <c r="I12" s="124">
        <f>SUM(I13:I18)</f>
        <v>1612.9591699999999</v>
      </c>
      <c r="J12" s="125">
        <f>SUM(J13:J18)</f>
        <v>428.52105999999998</v>
      </c>
      <c r="K12" s="123">
        <f>SUM(K13:K18)</f>
        <v>1612.9591699999999</v>
      </c>
      <c r="L12" s="44">
        <f>SUM(L13:L17)</f>
        <v>0</v>
      </c>
      <c r="M12" s="76">
        <f>SUM(M13:M18)</f>
        <v>119272.5497</v>
      </c>
      <c r="N12" s="77">
        <f>SUM(N13:N18)</f>
        <v>545980.46695999999</v>
      </c>
      <c r="O12" s="78">
        <f>SUM(O13:O18)</f>
        <v>119272.5497</v>
      </c>
      <c r="P12" s="76">
        <f>SUM(P13:P18)</f>
        <v>545980.46695999999</v>
      </c>
    </row>
    <row r="13" spans="1:16" ht="15" x14ac:dyDescent="0.25">
      <c r="A13" s="13" t="s">
        <v>8</v>
      </c>
      <c r="B13" s="47"/>
      <c r="C13" s="21" t="s">
        <v>6</v>
      </c>
      <c r="D13" s="45">
        <v>10766</v>
      </c>
      <c r="E13" s="45"/>
      <c r="F13" s="45">
        <f t="shared" ref="F13:F18" si="7">+D13+G13-H13</f>
        <v>10766</v>
      </c>
      <c r="G13" s="119">
        <v>0</v>
      </c>
      <c r="H13" s="120"/>
      <c r="I13" s="120"/>
      <c r="J13" s="120"/>
      <c r="K13" s="120"/>
      <c r="L13" s="48">
        <v>0</v>
      </c>
      <c r="M13" s="74"/>
      <c r="N13" s="75"/>
      <c r="O13" s="74"/>
      <c r="P13" s="74"/>
    </row>
    <row r="14" spans="1:16" ht="15" x14ac:dyDescent="0.25">
      <c r="A14" s="13" t="s">
        <v>75</v>
      </c>
      <c r="B14" s="47" t="s">
        <v>43</v>
      </c>
      <c r="C14" s="21" t="s">
        <v>6</v>
      </c>
      <c r="D14" s="45">
        <v>55850</v>
      </c>
      <c r="E14" s="45"/>
      <c r="F14" s="45">
        <f t="shared" si="7"/>
        <v>55850</v>
      </c>
      <c r="G14" s="119">
        <v>0</v>
      </c>
      <c r="H14" s="120"/>
      <c r="I14" s="120"/>
      <c r="J14" s="120">
        <f t="shared" ref="J14" si="8">+H14</f>
        <v>0</v>
      </c>
      <c r="K14" s="120">
        <f t="shared" ref="K14" si="9">+I14</f>
        <v>0</v>
      </c>
      <c r="L14" s="48">
        <v>0</v>
      </c>
      <c r="M14" s="74">
        <f>6935515.53/1000</f>
        <v>6935.5155300000006</v>
      </c>
      <c r="N14" s="75">
        <f>3201326.03/1000</f>
        <v>3201.3260299999997</v>
      </c>
      <c r="O14" s="74">
        <f t="shared" ref="O14" si="10">+M14</f>
        <v>6935.5155300000006</v>
      </c>
      <c r="P14" s="74">
        <f t="shared" ref="P14" si="11">+N14</f>
        <v>3201.3260299999997</v>
      </c>
    </row>
    <row r="15" spans="1:16" ht="15" x14ac:dyDescent="0.25">
      <c r="A15" s="13" t="s">
        <v>59</v>
      </c>
      <c r="B15" s="47" t="s">
        <v>44</v>
      </c>
      <c r="C15" s="21" t="s">
        <v>6</v>
      </c>
      <c r="D15" s="45">
        <v>99193.913289999997</v>
      </c>
      <c r="E15" s="45"/>
      <c r="F15" s="45">
        <f t="shared" si="7"/>
        <v>99193.913289999997</v>
      </c>
      <c r="G15" s="119">
        <v>0</v>
      </c>
      <c r="H15" s="120"/>
      <c r="I15" s="120"/>
      <c r="J15" s="120">
        <f>++H15</f>
        <v>0</v>
      </c>
      <c r="K15" s="120">
        <f t="shared" ref="K15:K17" si="12">++I15</f>
        <v>0</v>
      </c>
      <c r="L15" s="48">
        <v>0</v>
      </c>
      <c r="M15" s="74">
        <f>6713303.49/1000</f>
        <v>6713.3034900000002</v>
      </c>
      <c r="N15" s="75">
        <f>3397061.88/1000</f>
        <v>3397.0618799999997</v>
      </c>
      <c r="O15" s="74">
        <f>++M15</f>
        <v>6713.3034900000002</v>
      </c>
      <c r="P15" s="74">
        <f t="shared" ref="P15:P17" si="13">++N15</f>
        <v>3397.0618799999997</v>
      </c>
    </row>
    <row r="16" spans="1:16" ht="15" x14ac:dyDescent="0.25">
      <c r="A16" s="13" t="s">
        <v>60</v>
      </c>
      <c r="B16" s="47" t="s">
        <v>46</v>
      </c>
      <c r="C16" s="21" t="s">
        <v>6</v>
      </c>
      <c r="D16" s="45">
        <v>3189.5738000000001</v>
      </c>
      <c r="E16" s="45"/>
      <c r="F16" s="45">
        <f t="shared" si="7"/>
        <v>2761.0527400000001</v>
      </c>
      <c r="G16" s="119">
        <v>0</v>
      </c>
      <c r="H16" s="120">
        <v>428.52105999999998</v>
      </c>
      <c r="I16" s="120">
        <v>199.88104999999999</v>
      </c>
      <c r="J16" s="120">
        <f t="shared" ref="J16:J17" si="14">++H16</f>
        <v>428.52105999999998</v>
      </c>
      <c r="K16" s="120">
        <f t="shared" si="12"/>
        <v>199.88104999999999</v>
      </c>
      <c r="L16" s="48">
        <v>0</v>
      </c>
      <c r="M16" s="74">
        <f>3932848.88/1000</f>
        <v>3932.84888</v>
      </c>
      <c r="N16" s="75">
        <f>1768294.18/1000</f>
        <v>1768.2941799999999</v>
      </c>
      <c r="O16" s="74">
        <f t="shared" ref="O16:O17" si="15">++M16</f>
        <v>3932.84888</v>
      </c>
      <c r="P16" s="74">
        <f t="shared" si="13"/>
        <v>1768.2941799999999</v>
      </c>
    </row>
    <row r="17" spans="1:18" ht="15" x14ac:dyDescent="0.25">
      <c r="A17" s="13" t="s">
        <v>34</v>
      </c>
      <c r="B17" s="47" t="s">
        <v>45</v>
      </c>
      <c r="C17" s="21" t="s">
        <v>6</v>
      </c>
      <c r="D17" s="45">
        <v>3913244</v>
      </c>
      <c r="E17" s="45"/>
      <c r="F17" s="45">
        <f t="shared" si="7"/>
        <v>3913244</v>
      </c>
      <c r="G17" s="119">
        <v>0</v>
      </c>
      <c r="H17" s="120"/>
      <c r="I17" s="120">
        <v>1413.0781199999999</v>
      </c>
      <c r="J17" s="120">
        <f t="shared" si="14"/>
        <v>0</v>
      </c>
      <c r="K17" s="120">
        <f t="shared" si="12"/>
        <v>1413.0781199999999</v>
      </c>
      <c r="L17" s="48">
        <v>0</v>
      </c>
      <c r="M17" s="74"/>
      <c r="N17" s="75">
        <f>520045654.69/1000</f>
        <v>520045.65469</v>
      </c>
      <c r="O17" s="74">
        <f t="shared" si="15"/>
        <v>0</v>
      </c>
      <c r="P17" s="74">
        <f t="shared" si="13"/>
        <v>520045.65469</v>
      </c>
      <c r="R17" s="34"/>
    </row>
    <row r="18" spans="1:18" ht="15" x14ac:dyDescent="0.25">
      <c r="A18" s="13" t="s">
        <v>35</v>
      </c>
      <c r="B18" s="47" t="s">
        <v>50</v>
      </c>
      <c r="C18" s="21" t="s">
        <v>6</v>
      </c>
      <c r="D18" s="45">
        <v>1617382</v>
      </c>
      <c r="E18" s="45"/>
      <c r="F18" s="45">
        <f t="shared" si="7"/>
        <v>1617382</v>
      </c>
      <c r="G18" s="119">
        <v>0</v>
      </c>
      <c r="H18" s="120"/>
      <c r="I18" s="120"/>
      <c r="J18" s="120">
        <f t="shared" ref="J18" si="16">+H18</f>
        <v>0</v>
      </c>
      <c r="K18" s="120">
        <f t="shared" ref="K18" si="17">+I18</f>
        <v>0</v>
      </c>
      <c r="L18" s="48">
        <v>0</v>
      </c>
      <c r="M18" s="74">
        <f>101690881.8/1000</f>
        <v>101690.8818</v>
      </c>
      <c r="N18" s="75">
        <f>17568130.18/1000</f>
        <v>17568.13018</v>
      </c>
      <c r="O18" s="74">
        <f t="shared" ref="O18" si="18">+M18</f>
        <v>101690.8818</v>
      </c>
      <c r="P18" s="74">
        <f t="shared" ref="P18" si="19">+N18</f>
        <v>17568.13018</v>
      </c>
    </row>
    <row r="19" spans="1:18" s="95" customFormat="1" ht="21" customHeight="1" thickBot="1" x14ac:dyDescent="0.25">
      <c r="A19" s="97" t="s">
        <v>9</v>
      </c>
      <c r="B19" s="96"/>
      <c r="C19" s="97"/>
      <c r="D19" s="99">
        <v>12326000.759251432</v>
      </c>
      <c r="E19" s="98"/>
      <c r="F19" s="99">
        <f t="shared" ref="F19:K19" si="20">SUM(F20:F31)</f>
        <v>12674896.264552778</v>
      </c>
      <c r="G19" s="127">
        <f t="shared" si="20"/>
        <v>72241.828999999998</v>
      </c>
      <c r="H19" s="128">
        <f t="shared" si="20"/>
        <v>55656.99394</v>
      </c>
      <c r="I19" s="129">
        <f t="shared" si="20"/>
        <v>17726.104050000002</v>
      </c>
      <c r="J19" s="130">
        <f t="shared" si="20"/>
        <v>55656.99394</v>
      </c>
      <c r="K19" s="128">
        <f t="shared" si="20"/>
        <v>17726.104050000002</v>
      </c>
      <c r="L19" s="98">
        <f t="shared" ref="L19:P19" si="21">SUM(L20:L31)</f>
        <v>189287.63800000001</v>
      </c>
      <c r="M19" s="99">
        <f t="shared" si="21"/>
        <v>458434.40803000005</v>
      </c>
      <c r="N19" s="100">
        <f t="shared" si="21"/>
        <v>299698.96508999995</v>
      </c>
      <c r="O19" s="101">
        <f t="shared" si="21"/>
        <v>458434.40803000005</v>
      </c>
      <c r="P19" s="99">
        <f t="shared" si="21"/>
        <v>299698.96508999995</v>
      </c>
    </row>
    <row r="20" spans="1:18" ht="15.75" thickTop="1" x14ac:dyDescent="0.25">
      <c r="A20" s="13" t="s">
        <v>53</v>
      </c>
      <c r="B20" s="56"/>
      <c r="C20" s="21" t="s">
        <v>10</v>
      </c>
      <c r="D20" s="45">
        <v>382483.42561362503</v>
      </c>
      <c r="E20" s="45">
        <f>+D20/$E$2*$E$3</f>
        <v>392795.73150776426</v>
      </c>
      <c r="F20" s="45">
        <f>+E20+G20-H20</f>
        <v>392795.73150776426</v>
      </c>
      <c r="G20" s="126"/>
      <c r="H20" s="120"/>
      <c r="I20" s="120"/>
      <c r="J20" s="120">
        <f t="shared" ref="J20:J31" si="22">+H20</f>
        <v>0</v>
      </c>
      <c r="K20" s="120">
        <f t="shared" ref="K20:K31" si="23">+I20</f>
        <v>0</v>
      </c>
      <c r="L20" s="36"/>
      <c r="M20" s="72"/>
      <c r="N20" s="72">
        <f>38429994.51/1000</f>
        <v>38429.994509999997</v>
      </c>
      <c r="O20" s="74">
        <f t="shared" ref="O20" si="24">+M20</f>
        <v>0</v>
      </c>
      <c r="P20" s="74">
        <f t="shared" ref="P20" si="25">+N20</f>
        <v>38429.994509999997</v>
      </c>
    </row>
    <row r="21" spans="1:18" ht="15" x14ac:dyDescent="0.25">
      <c r="A21" s="13" t="s">
        <v>54</v>
      </c>
      <c r="B21" s="47">
        <v>49522</v>
      </c>
      <c r="C21" s="21" t="s">
        <v>10</v>
      </c>
      <c r="D21" s="45">
        <v>1344349.4981238591</v>
      </c>
      <c r="E21" s="45">
        <f t="shared" ref="E21:E31" si="26">+D21/$E$2*$E$3</f>
        <v>1380595.1033577188</v>
      </c>
      <c r="F21" s="45">
        <f>+E21+G21-H21</f>
        <v>1380595.1033577188</v>
      </c>
      <c r="G21" s="119"/>
      <c r="H21" s="120"/>
      <c r="I21" s="120"/>
      <c r="J21" s="120">
        <f>+H21</f>
        <v>0</v>
      </c>
      <c r="K21" s="120">
        <f>+I21</f>
        <v>0</v>
      </c>
      <c r="L21" s="48">
        <v>36943.733</v>
      </c>
      <c r="M21" s="74"/>
      <c r="N21" s="75">
        <f>35601052.41/1000</f>
        <v>35601.052409999997</v>
      </c>
      <c r="O21" s="74">
        <f>+M21</f>
        <v>0</v>
      </c>
      <c r="P21" s="74">
        <f>+N21</f>
        <v>35601.052409999997</v>
      </c>
    </row>
    <row r="22" spans="1:18" ht="15" x14ac:dyDescent="0.25">
      <c r="A22" s="13" t="s">
        <v>38</v>
      </c>
      <c r="B22" s="47" t="s">
        <v>47</v>
      </c>
      <c r="C22" s="21" t="s">
        <v>10</v>
      </c>
      <c r="D22" s="45">
        <v>51451.614626815834</v>
      </c>
      <c r="E22" s="45">
        <f t="shared" si="26"/>
        <v>52838.824511604609</v>
      </c>
      <c r="F22" s="45">
        <f t="shared" ref="F22:F30" si="27">+E22+G22-H22</f>
        <v>52838.824511604609</v>
      </c>
      <c r="G22" s="119"/>
      <c r="H22" s="120"/>
      <c r="I22" s="120"/>
      <c r="J22" s="120">
        <f t="shared" ref="J22:K30" si="28">+H22</f>
        <v>0</v>
      </c>
      <c r="K22" s="120">
        <f t="shared" si="28"/>
        <v>0</v>
      </c>
      <c r="L22" s="48"/>
      <c r="M22" s="74"/>
      <c r="N22" s="75"/>
      <c r="O22" s="74">
        <f t="shared" ref="O22:O31" si="29">+M22</f>
        <v>0</v>
      </c>
      <c r="P22" s="74">
        <f t="shared" ref="P22:P31" si="30">+N22</f>
        <v>0</v>
      </c>
    </row>
    <row r="23" spans="1:18" ht="15" x14ac:dyDescent="0.25">
      <c r="A23" s="13" t="s">
        <v>32</v>
      </c>
      <c r="B23" s="47" t="s">
        <v>48</v>
      </c>
      <c r="C23" s="21" t="s">
        <v>10</v>
      </c>
      <c r="D23" s="45">
        <v>267505.62909212767</v>
      </c>
      <c r="E23" s="45">
        <f t="shared" si="26"/>
        <v>274717.96743378654</v>
      </c>
      <c r="F23" s="45">
        <f t="shared" si="27"/>
        <v>274717.96743378654</v>
      </c>
      <c r="G23" s="119"/>
      <c r="H23" s="120"/>
      <c r="I23" s="120"/>
      <c r="J23" s="120">
        <f t="shared" si="28"/>
        <v>0</v>
      </c>
      <c r="K23" s="120">
        <f t="shared" si="28"/>
        <v>0</v>
      </c>
      <c r="L23" s="48"/>
      <c r="M23" s="74">
        <f>7456040.21/1000</f>
        <v>7456.0402100000001</v>
      </c>
      <c r="N23" s="75">
        <f>4249486.19/1000</f>
        <v>4249.4861900000005</v>
      </c>
      <c r="O23" s="74">
        <f t="shared" si="29"/>
        <v>7456.0402100000001</v>
      </c>
      <c r="P23" s="74">
        <f t="shared" si="30"/>
        <v>4249.4861900000005</v>
      </c>
    </row>
    <row r="24" spans="1:18" ht="15" x14ac:dyDescent="0.25">
      <c r="A24" s="13" t="s">
        <v>26</v>
      </c>
      <c r="B24" s="47" t="s">
        <v>49</v>
      </c>
      <c r="C24" s="21" t="s">
        <v>10</v>
      </c>
      <c r="D24" s="45">
        <v>754134.29979677661</v>
      </c>
      <c r="E24" s="45">
        <f t="shared" si="26"/>
        <v>774466.85034400714</v>
      </c>
      <c r="F24" s="45">
        <f t="shared" si="27"/>
        <v>774466.85034400714</v>
      </c>
      <c r="G24" s="119"/>
      <c r="H24" s="120"/>
      <c r="I24" s="120"/>
      <c r="J24" s="120">
        <f t="shared" si="28"/>
        <v>0</v>
      </c>
      <c r="K24" s="120">
        <f t="shared" si="28"/>
        <v>0</v>
      </c>
      <c r="L24" s="48"/>
      <c r="M24" s="74">
        <f>1559760/1000</f>
        <v>1559.76</v>
      </c>
      <c r="N24" s="75">
        <f>134229.05/1000</f>
        <v>134.22905</v>
      </c>
      <c r="O24" s="74">
        <f t="shared" si="29"/>
        <v>1559.76</v>
      </c>
      <c r="P24" s="74">
        <f t="shared" si="30"/>
        <v>134.22905</v>
      </c>
    </row>
    <row r="25" spans="1:18" ht="15" x14ac:dyDescent="0.25">
      <c r="A25" s="13" t="s">
        <v>36</v>
      </c>
      <c r="B25" s="47" t="s">
        <v>67</v>
      </c>
      <c r="C25" s="21" t="s">
        <v>10</v>
      </c>
      <c r="D25" s="45">
        <v>2556197.1654288275</v>
      </c>
      <c r="E25" s="45">
        <f t="shared" si="26"/>
        <v>2625115.9350548405</v>
      </c>
      <c r="F25" s="45">
        <f t="shared" si="27"/>
        <v>2625115.9350548405</v>
      </c>
      <c r="G25" s="119"/>
      <c r="H25" s="120"/>
      <c r="I25" s="120"/>
      <c r="J25" s="120">
        <f t="shared" si="28"/>
        <v>0</v>
      </c>
      <c r="K25" s="120">
        <f t="shared" si="28"/>
        <v>0</v>
      </c>
      <c r="L25" s="48"/>
      <c r="M25" s="74">
        <f>109228395.35/1000</f>
        <v>109228.39534999999</v>
      </c>
      <c r="N25" s="75">
        <f>50570685.15/1000</f>
        <v>50570.685149999998</v>
      </c>
      <c r="O25" s="74">
        <f t="shared" si="29"/>
        <v>109228.39534999999</v>
      </c>
      <c r="P25" s="74">
        <f t="shared" si="30"/>
        <v>50570.685149999998</v>
      </c>
    </row>
    <row r="26" spans="1:18" ht="15" x14ac:dyDescent="0.25">
      <c r="A26" s="13" t="s">
        <v>61</v>
      </c>
      <c r="B26" s="47" t="s">
        <v>48</v>
      </c>
      <c r="C26" s="21" t="s">
        <v>10</v>
      </c>
      <c r="D26" s="45">
        <v>2591515.1150999698</v>
      </c>
      <c r="E26" s="45">
        <f t="shared" si="26"/>
        <v>2661386.1076882677</v>
      </c>
      <c r="F26" s="45">
        <f t="shared" si="27"/>
        <v>2661386.1076882677</v>
      </c>
      <c r="G26" s="119"/>
      <c r="H26" s="120"/>
      <c r="I26" s="120"/>
      <c r="J26" s="120">
        <f t="shared" si="28"/>
        <v>0</v>
      </c>
      <c r="K26" s="120">
        <f t="shared" si="28"/>
        <v>0</v>
      </c>
      <c r="L26" s="48"/>
      <c r="M26" s="74">
        <f>130885752.59/1000</f>
        <v>130885.75259</v>
      </c>
      <c r="N26" s="75">
        <f>72891099.6/1000</f>
        <v>72891.099599999987</v>
      </c>
      <c r="O26" s="74">
        <f t="shared" si="29"/>
        <v>130885.75259</v>
      </c>
      <c r="P26" s="74">
        <f t="shared" si="30"/>
        <v>72891.099599999987</v>
      </c>
    </row>
    <row r="27" spans="1:18" ht="15" x14ac:dyDescent="0.25">
      <c r="A27" s="13" t="s">
        <v>62</v>
      </c>
      <c r="B27" s="47" t="s">
        <v>48</v>
      </c>
      <c r="C27" s="21" t="s">
        <v>10</v>
      </c>
      <c r="D27" s="45">
        <v>1599922.3250288554</v>
      </c>
      <c r="E27" s="45">
        <f t="shared" si="26"/>
        <v>1643058.5430129173</v>
      </c>
      <c r="F27" s="45">
        <f t="shared" si="27"/>
        <v>1643058.5430129173</v>
      </c>
      <c r="G27" s="119"/>
      <c r="H27" s="120"/>
      <c r="I27" s="120"/>
      <c r="J27" s="120">
        <f t="shared" si="28"/>
        <v>0</v>
      </c>
      <c r="K27" s="120">
        <f t="shared" si="28"/>
        <v>0</v>
      </c>
      <c r="L27" s="48"/>
      <c r="M27" s="74">
        <f>98805123.24/1000</f>
        <v>98805.123240000001</v>
      </c>
      <c r="N27" s="75">
        <f>49244316.49/1000</f>
        <v>49244.316490000005</v>
      </c>
      <c r="O27" s="74">
        <f t="shared" si="29"/>
        <v>98805.123240000001</v>
      </c>
      <c r="P27" s="74">
        <f t="shared" si="30"/>
        <v>49244.316490000005</v>
      </c>
    </row>
    <row r="28" spans="1:18" ht="15" x14ac:dyDescent="0.25">
      <c r="A28" s="13" t="s">
        <v>33</v>
      </c>
      <c r="B28" s="47" t="s">
        <v>47</v>
      </c>
      <c r="C28" s="21" t="s">
        <v>10</v>
      </c>
      <c r="D28" s="45">
        <v>1641582.194286631</v>
      </c>
      <c r="E28" s="45">
        <f t="shared" si="26"/>
        <v>1685841.6225499534</v>
      </c>
      <c r="F28" s="45">
        <f>+E28+G28-H28</f>
        <v>1630184.6286099534</v>
      </c>
      <c r="G28" s="119"/>
      <c r="H28" s="120">
        <v>55656.99394</v>
      </c>
      <c r="I28" s="120">
        <v>17726.104050000002</v>
      </c>
      <c r="J28" s="120">
        <f t="shared" si="28"/>
        <v>55656.99394</v>
      </c>
      <c r="K28" s="120">
        <f t="shared" si="28"/>
        <v>17726.104050000002</v>
      </c>
      <c r="L28" s="48"/>
      <c r="M28" s="74">
        <f>102615919.96/1000</f>
        <v>102615.91996</v>
      </c>
      <c r="N28" s="75">
        <f>42762315.48/1000</f>
        <v>42762.315479999997</v>
      </c>
      <c r="O28" s="74">
        <f t="shared" si="29"/>
        <v>102615.91996</v>
      </c>
      <c r="P28" s="74">
        <f t="shared" si="30"/>
        <v>42762.315479999997</v>
      </c>
    </row>
    <row r="29" spans="1:18" ht="15" x14ac:dyDescent="0.25">
      <c r="A29" s="13" t="s">
        <v>11</v>
      </c>
      <c r="B29" s="47"/>
      <c r="C29" s="21" t="s">
        <v>6</v>
      </c>
      <c r="D29" s="45">
        <v>598</v>
      </c>
      <c r="E29" s="45">
        <f>+D29</f>
        <v>598</v>
      </c>
      <c r="F29" s="45">
        <f t="shared" si="27"/>
        <v>598</v>
      </c>
      <c r="G29" s="119"/>
      <c r="H29" s="120"/>
      <c r="I29" s="120"/>
      <c r="J29" s="120">
        <f t="shared" si="28"/>
        <v>0</v>
      </c>
      <c r="K29" s="120">
        <f t="shared" si="28"/>
        <v>0</v>
      </c>
      <c r="L29" s="48"/>
      <c r="M29" s="74"/>
      <c r="N29" s="75"/>
      <c r="O29" s="74">
        <f t="shared" si="29"/>
        <v>0</v>
      </c>
      <c r="P29" s="74">
        <f t="shared" si="30"/>
        <v>0</v>
      </c>
    </row>
    <row r="30" spans="1:18" ht="15" x14ac:dyDescent="0.25">
      <c r="A30" s="13" t="s">
        <v>74</v>
      </c>
      <c r="B30" s="47" t="s">
        <v>51</v>
      </c>
      <c r="C30" s="21" t="s">
        <v>10</v>
      </c>
      <c r="D30" s="45">
        <v>812870.86604327546</v>
      </c>
      <c r="E30" s="45">
        <f t="shared" si="26"/>
        <v>834787.03929868876</v>
      </c>
      <c r="F30" s="45">
        <f t="shared" si="27"/>
        <v>834787.03929868876</v>
      </c>
      <c r="G30" s="119"/>
      <c r="H30" s="120"/>
      <c r="I30" s="120"/>
      <c r="J30" s="120">
        <f t="shared" si="28"/>
        <v>0</v>
      </c>
      <c r="K30" s="120">
        <f t="shared" si="28"/>
        <v>0</v>
      </c>
      <c r="L30" s="48"/>
      <c r="M30" s="74">
        <f>7883416.68/1000</f>
        <v>7883.4166799999994</v>
      </c>
      <c r="N30" s="75">
        <f>1585972.38/1000</f>
        <v>1585.9723799999999</v>
      </c>
      <c r="O30" s="74">
        <f t="shared" si="29"/>
        <v>7883.4166799999994</v>
      </c>
      <c r="P30" s="74">
        <f t="shared" si="30"/>
        <v>1585.9723799999999</v>
      </c>
    </row>
    <row r="31" spans="1:18" ht="15" x14ac:dyDescent="0.25">
      <c r="A31" s="13" t="s">
        <v>63</v>
      </c>
      <c r="B31" s="47" t="s">
        <v>52</v>
      </c>
      <c r="C31" s="23" t="s">
        <v>10</v>
      </c>
      <c r="D31" s="45">
        <v>323390.62611066969</v>
      </c>
      <c r="E31" s="45">
        <f t="shared" si="26"/>
        <v>332109.7047332275</v>
      </c>
      <c r="F31" s="45">
        <f>+E31+G31-H31</f>
        <v>404351.53373322752</v>
      </c>
      <c r="G31" s="119">
        <v>72241.828999999998</v>
      </c>
      <c r="H31" s="120"/>
      <c r="I31" s="120"/>
      <c r="J31" s="120">
        <f t="shared" si="22"/>
        <v>0</v>
      </c>
      <c r="K31" s="120">
        <f t="shared" si="23"/>
        <v>0</v>
      </c>
      <c r="L31" s="19">
        <v>152343.905</v>
      </c>
      <c r="M31" s="72"/>
      <c r="N31" s="72">
        <f>4229813.83/1000</f>
        <v>4229.8138300000001</v>
      </c>
      <c r="O31" s="74">
        <f t="shared" si="29"/>
        <v>0</v>
      </c>
      <c r="P31" s="74">
        <f t="shared" si="30"/>
        <v>4229.8138300000001</v>
      </c>
    </row>
    <row r="32" spans="1:18" s="95" customFormat="1" ht="21" customHeight="1" thickBot="1" x14ac:dyDescent="0.25">
      <c r="A32" s="97" t="s">
        <v>12</v>
      </c>
      <c r="B32" s="96"/>
      <c r="C32" s="97"/>
      <c r="D32" s="98"/>
      <c r="E32" s="98"/>
      <c r="F32" s="99"/>
      <c r="G32" s="127"/>
      <c r="H32" s="128">
        <f t="shared" ref="H32:P32" si="31">SUM(H33)</f>
        <v>0</v>
      </c>
      <c r="I32" s="129">
        <f t="shared" si="31"/>
        <v>0</v>
      </c>
      <c r="J32" s="130">
        <f t="shared" si="31"/>
        <v>0</v>
      </c>
      <c r="K32" s="128">
        <f t="shared" si="31"/>
        <v>0</v>
      </c>
      <c r="L32" s="98"/>
      <c r="M32" s="99">
        <f t="shared" si="31"/>
        <v>0</v>
      </c>
      <c r="N32" s="100">
        <f t="shared" si="31"/>
        <v>0</v>
      </c>
      <c r="O32" s="101">
        <f t="shared" si="31"/>
        <v>0</v>
      </c>
      <c r="P32" s="99">
        <f t="shared" si="31"/>
        <v>0</v>
      </c>
    </row>
    <row r="33" spans="1:59" ht="15.75" thickTop="1" x14ac:dyDescent="0.25">
      <c r="A33" s="14" t="s">
        <v>73</v>
      </c>
      <c r="B33" s="21"/>
      <c r="C33" s="23" t="s">
        <v>6</v>
      </c>
      <c r="D33" s="45"/>
      <c r="E33" s="45"/>
      <c r="F33" s="45"/>
      <c r="G33" s="119">
        <v>0</v>
      </c>
      <c r="H33" s="120">
        <v>0</v>
      </c>
      <c r="I33" s="120">
        <v>0</v>
      </c>
      <c r="J33" s="121">
        <v>0</v>
      </c>
      <c r="K33" s="131">
        <v>0</v>
      </c>
      <c r="L33" s="19">
        <v>0</v>
      </c>
      <c r="M33" s="72">
        <v>0</v>
      </c>
      <c r="N33" s="72">
        <v>0</v>
      </c>
      <c r="O33" s="73">
        <v>0</v>
      </c>
      <c r="P33" s="79">
        <v>0</v>
      </c>
    </row>
    <row r="34" spans="1:59" s="95" customFormat="1" ht="21" customHeight="1" thickBot="1" x14ac:dyDescent="0.25">
      <c r="A34" s="97" t="s">
        <v>13</v>
      </c>
      <c r="B34" s="96"/>
      <c r="C34" s="97"/>
      <c r="D34" s="98"/>
      <c r="E34" s="98"/>
      <c r="F34" s="99"/>
      <c r="G34" s="127"/>
      <c r="H34" s="128"/>
      <c r="I34" s="129"/>
      <c r="J34" s="130"/>
      <c r="K34" s="128"/>
      <c r="L34" s="98"/>
      <c r="M34" s="99"/>
      <c r="N34" s="100"/>
      <c r="O34" s="101"/>
      <c r="P34" s="99"/>
    </row>
    <row r="35" spans="1:59" s="95" customFormat="1" ht="21" customHeight="1" thickTop="1" thickBot="1" x14ac:dyDescent="0.25">
      <c r="A35" s="97" t="s">
        <v>14</v>
      </c>
      <c r="B35" s="96"/>
      <c r="C35" s="97" t="s">
        <v>0</v>
      </c>
      <c r="D35" s="99">
        <v>55614.11</v>
      </c>
      <c r="E35" s="98"/>
      <c r="F35" s="99">
        <f t="shared" ref="F35:G35" si="32">SUM(F36:F43)</f>
        <v>51682.11</v>
      </c>
      <c r="G35" s="127">
        <f t="shared" si="32"/>
        <v>0</v>
      </c>
      <c r="H35" s="128">
        <f>SUM(H36:H43)</f>
        <v>0</v>
      </c>
      <c r="I35" s="129">
        <f t="shared" ref="I35:K35" si="33">SUM(I36:I43)</f>
        <v>0</v>
      </c>
      <c r="J35" s="130">
        <f t="shared" si="33"/>
        <v>0</v>
      </c>
      <c r="K35" s="128">
        <f t="shared" si="33"/>
        <v>0</v>
      </c>
      <c r="L35" s="98">
        <f t="shared" ref="L35" si="34">SUM(L36:L43)</f>
        <v>0</v>
      </c>
      <c r="M35" s="99">
        <f>SUM(M36:M43)</f>
        <v>2699</v>
      </c>
      <c r="N35" s="100">
        <f t="shared" ref="N35:P35" si="35">SUM(N36:N43)</f>
        <v>24874</v>
      </c>
      <c r="O35" s="101">
        <f t="shared" si="35"/>
        <v>2699</v>
      </c>
      <c r="P35" s="99">
        <f t="shared" si="35"/>
        <v>24874</v>
      </c>
    </row>
    <row r="36" spans="1:59" ht="15.75" thickTop="1" x14ac:dyDescent="0.25">
      <c r="A36" s="16" t="s">
        <v>23</v>
      </c>
      <c r="B36" s="57"/>
      <c r="C36" s="21"/>
      <c r="D36" s="45">
        <v>0</v>
      </c>
      <c r="E36" s="45"/>
      <c r="F36" s="93">
        <f>+D36</f>
        <v>0</v>
      </c>
      <c r="G36" s="132"/>
      <c r="H36" s="120"/>
      <c r="I36" s="120"/>
      <c r="J36" s="121"/>
      <c r="K36" s="120"/>
      <c r="L36" s="38"/>
      <c r="M36" s="72"/>
      <c r="N36" s="72"/>
      <c r="O36" s="73"/>
      <c r="P36" s="72"/>
    </row>
    <row r="37" spans="1:59" ht="15" x14ac:dyDescent="0.25">
      <c r="A37" s="16" t="s">
        <v>29</v>
      </c>
      <c r="B37" s="57"/>
      <c r="C37" s="21"/>
      <c r="D37" s="45">
        <v>55426</v>
      </c>
      <c r="E37" s="45"/>
      <c r="F37" s="93">
        <v>0</v>
      </c>
      <c r="G37" s="132"/>
      <c r="H37" s="120"/>
      <c r="I37" s="120"/>
      <c r="J37" s="121"/>
      <c r="K37" s="120"/>
      <c r="L37" s="38"/>
      <c r="M37" s="72"/>
      <c r="N37" s="72"/>
      <c r="O37" s="73"/>
      <c r="P37" s="72"/>
    </row>
    <row r="38" spans="1:59" ht="15" x14ac:dyDescent="0.25">
      <c r="A38" s="66" t="s">
        <v>72</v>
      </c>
      <c r="B38" s="21"/>
      <c r="C38" s="21" t="s">
        <v>6</v>
      </c>
      <c r="D38" s="45">
        <v>0</v>
      </c>
      <c r="E38" s="45"/>
      <c r="F38" s="93">
        <v>51494</v>
      </c>
      <c r="G38" s="119">
        <v>0</v>
      </c>
      <c r="H38" s="120"/>
      <c r="I38" s="120"/>
      <c r="J38" s="121"/>
      <c r="K38" s="120">
        <v>0</v>
      </c>
      <c r="L38" s="19">
        <v>0</v>
      </c>
      <c r="M38" s="72">
        <v>2699</v>
      </c>
      <c r="N38" s="72">
        <v>24874</v>
      </c>
      <c r="O38" s="73">
        <v>2699</v>
      </c>
      <c r="P38" s="72">
        <v>24874</v>
      </c>
    </row>
    <row r="39" spans="1:59" ht="15" x14ac:dyDescent="0.25">
      <c r="A39" s="16" t="s">
        <v>24</v>
      </c>
      <c r="B39" s="57"/>
      <c r="C39" s="21"/>
      <c r="D39" s="45">
        <v>0</v>
      </c>
      <c r="E39" s="45"/>
      <c r="F39" s="93">
        <f t="shared" ref="F39:F42" si="36">+D39</f>
        <v>0</v>
      </c>
      <c r="G39" s="132"/>
      <c r="H39" s="120"/>
      <c r="I39" s="120"/>
      <c r="J39" s="121"/>
      <c r="K39" s="120">
        <v>0</v>
      </c>
      <c r="L39" s="38"/>
      <c r="M39" s="72"/>
      <c r="N39" s="72"/>
      <c r="O39" s="73"/>
      <c r="P39" s="72">
        <v>0</v>
      </c>
    </row>
    <row r="40" spans="1:59" ht="15" x14ac:dyDescent="0.25">
      <c r="A40" s="17" t="s">
        <v>25</v>
      </c>
      <c r="B40" s="21"/>
      <c r="C40" s="21" t="s">
        <v>6</v>
      </c>
      <c r="D40" s="45">
        <v>188.11</v>
      </c>
      <c r="E40" s="45"/>
      <c r="F40" s="93">
        <f t="shared" si="36"/>
        <v>188.11</v>
      </c>
      <c r="G40" s="119">
        <v>0</v>
      </c>
      <c r="H40" s="120"/>
      <c r="I40" s="120"/>
      <c r="J40" s="121"/>
      <c r="K40" s="120">
        <v>0</v>
      </c>
      <c r="L40" s="19">
        <v>0</v>
      </c>
      <c r="M40" s="72"/>
      <c r="N40" s="72"/>
      <c r="O40" s="73"/>
      <c r="P40" s="72">
        <v>0</v>
      </c>
    </row>
    <row r="41" spans="1:59" ht="15" x14ac:dyDescent="0.25">
      <c r="A41" s="17" t="s">
        <v>64</v>
      </c>
      <c r="B41" s="21"/>
      <c r="C41" s="21" t="s">
        <v>6</v>
      </c>
      <c r="D41" s="45">
        <v>0</v>
      </c>
      <c r="E41" s="45"/>
      <c r="F41" s="93">
        <f t="shared" si="36"/>
        <v>0</v>
      </c>
      <c r="G41" s="119">
        <v>0</v>
      </c>
      <c r="H41" s="120"/>
      <c r="I41" s="120"/>
      <c r="J41" s="121"/>
      <c r="K41" s="120">
        <v>0</v>
      </c>
      <c r="L41" s="19">
        <v>0</v>
      </c>
      <c r="M41" s="72"/>
      <c r="N41" s="72"/>
      <c r="O41" s="73"/>
      <c r="P41" s="72">
        <v>0</v>
      </c>
    </row>
    <row r="42" spans="1:59" ht="15" x14ac:dyDescent="0.25">
      <c r="A42" s="16" t="s">
        <v>57</v>
      </c>
      <c r="B42" s="57"/>
      <c r="C42" s="21"/>
      <c r="D42" s="45">
        <v>0</v>
      </c>
      <c r="E42" s="45"/>
      <c r="F42" s="93">
        <f t="shared" si="36"/>
        <v>0</v>
      </c>
      <c r="G42" s="132"/>
      <c r="H42" s="120"/>
      <c r="I42" s="120"/>
      <c r="J42" s="121"/>
      <c r="K42" s="120">
        <v>0</v>
      </c>
      <c r="L42" s="38"/>
      <c r="M42" s="72"/>
      <c r="N42" s="72"/>
      <c r="O42" s="73"/>
      <c r="P42" s="72">
        <v>0</v>
      </c>
    </row>
    <row r="43" spans="1:59" s="65" customFormat="1" ht="15" x14ac:dyDescent="0.25">
      <c r="A43" s="62"/>
      <c r="B43" s="63"/>
      <c r="C43" s="63"/>
      <c r="D43" s="45"/>
      <c r="E43" s="45"/>
      <c r="F43" s="94"/>
      <c r="G43" s="119"/>
      <c r="H43" s="120"/>
      <c r="I43" s="120"/>
      <c r="J43" s="121"/>
      <c r="K43" s="120"/>
      <c r="L43" s="64"/>
      <c r="M43" s="80"/>
      <c r="N43" s="80"/>
      <c r="O43" s="81"/>
      <c r="P43" s="80"/>
    </row>
    <row r="44" spans="1:59" ht="17.100000000000001" customHeight="1" thickBot="1" x14ac:dyDescent="0.3">
      <c r="A44" s="50" t="s">
        <v>15</v>
      </c>
      <c r="B44" s="18"/>
      <c r="C44" s="24"/>
      <c r="D44" s="28"/>
      <c r="E44" s="28"/>
      <c r="F44" s="39"/>
      <c r="G44" s="133"/>
      <c r="H44" s="134"/>
      <c r="I44" s="135"/>
      <c r="J44" s="136"/>
      <c r="K44" s="135"/>
      <c r="L44" s="39"/>
      <c r="M44" s="82"/>
      <c r="N44" s="83"/>
      <c r="O44" s="84"/>
      <c r="P44" s="85"/>
    </row>
    <row r="45" spans="1:59" s="95" customFormat="1" ht="21" customHeight="1" thickBot="1" x14ac:dyDescent="0.25">
      <c r="A45" s="97" t="s">
        <v>16</v>
      </c>
      <c r="B45" s="96"/>
      <c r="C45" s="97" t="s">
        <v>0</v>
      </c>
      <c r="D45" s="99">
        <v>20606636.626121432</v>
      </c>
      <c r="E45" s="98"/>
      <c r="F45" s="99">
        <f>+F8+F19+F35</f>
        <v>20944701.245252777</v>
      </c>
      <c r="G45" s="128">
        <f t="shared" ref="G45:K45" si="37">+G8+G19+G35</f>
        <v>72241.828999999998</v>
      </c>
      <c r="H45" s="128">
        <f t="shared" si="37"/>
        <v>62555.880109999998</v>
      </c>
      <c r="I45" s="128">
        <f t="shared" si="37"/>
        <v>23237.126080000002</v>
      </c>
      <c r="J45" s="128">
        <f t="shared" si="37"/>
        <v>62555.880109999998</v>
      </c>
      <c r="K45" s="128">
        <f t="shared" si="37"/>
        <v>23237.126080000002</v>
      </c>
      <c r="L45" s="99">
        <f t="shared" ref="L45:P45" si="38">+L8+L19+L35</f>
        <v>189287.63800000001</v>
      </c>
      <c r="M45" s="99">
        <f>+M8+M19+M35</f>
        <v>638639.24372000003</v>
      </c>
      <c r="N45" s="99">
        <f t="shared" si="38"/>
        <v>1053059.5522799999</v>
      </c>
      <c r="O45" s="99">
        <f t="shared" si="38"/>
        <v>638639.24372000003</v>
      </c>
      <c r="P45" s="99">
        <f t="shared" si="38"/>
        <v>1053059.5522799999</v>
      </c>
    </row>
    <row r="46" spans="1:59" s="49" customFormat="1" ht="17.100000000000001" customHeight="1" thickTop="1" x14ac:dyDescent="0.25">
      <c r="A46" s="103"/>
      <c r="B46" s="104"/>
      <c r="C46" s="105"/>
      <c r="D46" s="46"/>
      <c r="E46" s="46"/>
      <c r="F46" s="46"/>
      <c r="G46" s="137"/>
      <c r="H46" s="138"/>
      <c r="I46" s="138">
        <f>+I45+H45</f>
        <v>85793.00619</v>
      </c>
      <c r="J46" s="138"/>
      <c r="K46" s="138">
        <f>+K45+J45</f>
        <v>85793.00619</v>
      </c>
      <c r="L46" s="46"/>
      <c r="M46" s="86"/>
      <c r="N46" s="86">
        <f>+N45+M45</f>
        <v>1691698.7960000001</v>
      </c>
      <c r="O46" s="86"/>
      <c r="P46" s="86">
        <f>+P45+O45</f>
        <v>1691698.7960000001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</row>
    <row r="47" spans="1:59" ht="15.75" thickBot="1" x14ac:dyDescent="0.3">
      <c r="A47" s="10"/>
      <c r="B47" s="43"/>
      <c r="C47" s="11"/>
      <c r="D47" s="11"/>
      <c r="E47" s="35"/>
      <c r="F47" s="35"/>
      <c r="G47" s="139"/>
      <c r="H47" s="140"/>
      <c r="I47" s="141"/>
      <c r="J47" s="142"/>
      <c r="K47" s="140"/>
      <c r="L47" s="40"/>
      <c r="M47" s="87"/>
      <c r="N47" s="88"/>
      <c r="O47" s="89"/>
      <c r="P47" s="155"/>
      <c r="Q47" s="34"/>
      <c r="R47" s="34"/>
      <c r="S47" s="34"/>
      <c r="T47" s="34"/>
      <c r="U47" s="34"/>
      <c r="V47" s="34"/>
    </row>
    <row r="48" spans="1:59" ht="13.5" thickBot="1" x14ac:dyDescent="0.25">
      <c r="A48" s="5"/>
      <c r="B48" s="5"/>
      <c r="C48" s="4"/>
      <c r="D48" s="4"/>
      <c r="E48" s="4"/>
      <c r="F48" s="4"/>
    </row>
    <row r="49" spans="1:13" ht="20.25" thickBot="1" x14ac:dyDescent="0.35">
      <c r="A49" s="156" t="s">
        <v>124</v>
      </c>
      <c r="B49" s="157"/>
      <c r="C49" s="158"/>
      <c r="D49" s="4"/>
      <c r="E49" s="4"/>
      <c r="F49" s="4"/>
    </row>
    <row r="50" spans="1:13" x14ac:dyDescent="0.2">
      <c r="A50" s="144" t="s">
        <v>17</v>
      </c>
      <c r="B50" s="145"/>
      <c r="C50" s="146">
        <f>SUM(C51:C54)</f>
        <v>1102099</v>
      </c>
      <c r="D50" s="3"/>
      <c r="E50" s="3"/>
      <c r="F50" s="3"/>
    </row>
    <row r="51" spans="1:13" x14ac:dyDescent="0.2">
      <c r="A51" s="147" t="s">
        <v>18</v>
      </c>
      <c r="B51" s="148"/>
      <c r="C51" s="149">
        <v>556679</v>
      </c>
      <c r="D51" s="6"/>
      <c r="E51" s="6"/>
      <c r="F51" s="6"/>
    </row>
    <row r="52" spans="1:13" x14ac:dyDescent="0.2">
      <c r="A52" s="150" t="s">
        <v>19</v>
      </c>
      <c r="B52" s="151"/>
      <c r="C52" s="149">
        <v>153414</v>
      </c>
      <c r="D52" s="2"/>
      <c r="E52" s="2"/>
      <c r="F52" s="2"/>
    </row>
    <row r="53" spans="1:13" x14ac:dyDescent="0.2">
      <c r="A53" s="150" t="s">
        <v>20</v>
      </c>
      <c r="B53" s="151"/>
      <c r="C53" s="149">
        <v>330744</v>
      </c>
      <c r="D53" s="2"/>
      <c r="E53" s="2"/>
      <c r="F53" s="2"/>
    </row>
    <row r="54" spans="1:13" x14ac:dyDescent="0.2">
      <c r="A54" s="152" t="s">
        <v>21</v>
      </c>
      <c r="B54" s="153"/>
      <c r="C54" s="154">
        <v>61262</v>
      </c>
      <c r="D54" s="2"/>
      <c r="E54" s="2"/>
      <c r="F54" s="2"/>
    </row>
    <row r="55" spans="1:13" x14ac:dyDescent="0.2">
      <c r="A55" s="7"/>
      <c r="B55" s="58"/>
      <c r="C55" s="2"/>
      <c r="D55" s="2"/>
      <c r="E55" s="2"/>
      <c r="F55" s="2"/>
      <c r="H55"/>
      <c r="M55"/>
    </row>
    <row r="56" spans="1:13" x14ac:dyDescent="0.2">
      <c r="A56" s="32" t="s">
        <v>120</v>
      </c>
      <c r="B56" s="59"/>
      <c r="C56" s="33"/>
      <c r="D56" s="33"/>
      <c r="E56" s="33"/>
      <c r="F56" s="33"/>
    </row>
    <row r="57" spans="1:13" x14ac:dyDescent="0.2">
      <c r="A57" s="33" t="s">
        <v>68</v>
      </c>
      <c r="B57" s="5"/>
      <c r="C57" s="34"/>
      <c r="D57" s="34"/>
      <c r="E57" s="34"/>
      <c r="F57" s="34"/>
    </row>
    <row r="58" spans="1:13" x14ac:dyDescent="0.2">
      <c r="A58" s="33" t="s">
        <v>69</v>
      </c>
      <c r="B58" s="5"/>
    </row>
    <row r="59" spans="1:13" x14ac:dyDescent="0.2">
      <c r="A59" s="32" t="s">
        <v>70</v>
      </c>
      <c r="B59" s="59"/>
    </row>
    <row r="60" spans="1:13" x14ac:dyDescent="0.2">
      <c r="A60" s="8" t="s">
        <v>71</v>
      </c>
      <c r="B60" s="60"/>
    </row>
  </sheetData>
  <mergeCells count="12">
    <mergeCell ref="L5:P5"/>
    <mergeCell ref="L6:L7"/>
    <mergeCell ref="M6:N6"/>
    <mergeCell ref="O6:P6"/>
    <mergeCell ref="G4:K4"/>
    <mergeCell ref="L4:P4"/>
    <mergeCell ref="A49:C49"/>
    <mergeCell ref="G5:K5"/>
    <mergeCell ref="G6:G7"/>
    <mergeCell ref="H6:I6"/>
    <mergeCell ref="J6:K6"/>
    <mergeCell ref="A5:A7"/>
  </mergeCells>
  <pageMargins left="0.70866141732283472" right="0.70866141732283472" top="0.35" bottom="0.21" header="0.31496062992125984" footer="0.13"/>
  <pageSetup paperSize="9" scale="63" orientation="landscape" r:id="rId1"/>
  <ignoredErrors>
    <ignoredError sqref="F9:L11 F12:K12 O9 O19:P19" formula="1"/>
    <ignoredError sqref="L1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workbookViewId="0">
      <selection activeCell="A62" sqref="A62:XFD62"/>
    </sheetView>
  </sheetViews>
  <sheetFormatPr baseColWidth="10" defaultRowHeight="12.75" x14ac:dyDescent="0.2"/>
  <cols>
    <col min="1" max="1" width="106.42578125" bestFit="1" customWidth="1"/>
    <col min="2" max="2" width="16.85546875" style="111" bestFit="1" customWidth="1"/>
    <col min="3" max="3" width="17.28515625" bestFit="1" customWidth="1"/>
  </cols>
  <sheetData>
    <row r="3" spans="1:3" x14ac:dyDescent="0.2">
      <c r="B3" s="107" t="s">
        <v>117</v>
      </c>
    </row>
    <row r="4" spans="1:3" x14ac:dyDescent="0.2">
      <c r="A4" s="107" t="s">
        <v>114</v>
      </c>
      <c r="B4" t="s">
        <v>116</v>
      </c>
      <c r="C4" t="s">
        <v>118</v>
      </c>
    </row>
    <row r="5" spans="1:3" x14ac:dyDescent="0.2">
      <c r="A5" s="108" t="s">
        <v>22</v>
      </c>
      <c r="B5" s="109">
        <v>310510011.68000001</v>
      </c>
      <c r="C5" s="109">
        <v>310510.01168000011</v>
      </c>
    </row>
    <row r="6" spans="1:3" x14ac:dyDescent="0.2">
      <c r="A6" s="110" t="s">
        <v>103</v>
      </c>
      <c r="B6" s="109">
        <v>98805123.239999995</v>
      </c>
      <c r="C6" s="109">
        <v>98805.123240000001</v>
      </c>
    </row>
    <row r="7" spans="1:3" x14ac:dyDescent="0.2">
      <c r="A7" s="110" t="s">
        <v>104</v>
      </c>
      <c r="B7" s="109">
        <v>7456040.21</v>
      </c>
      <c r="C7" s="109">
        <v>7456.0402100000001</v>
      </c>
    </row>
    <row r="8" spans="1:3" x14ac:dyDescent="0.2">
      <c r="A8" s="110" t="s">
        <v>102</v>
      </c>
      <c r="B8" s="109">
        <v>4537978.2699999996</v>
      </c>
      <c r="C8" s="109">
        <v>4537.9782699999996</v>
      </c>
    </row>
    <row r="9" spans="1:3" x14ac:dyDescent="0.2">
      <c r="A9" s="110" t="s">
        <v>101</v>
      </c>
      <c r="B9" s="109">
        <v>49917602.909999996</v>
      </c>
      <c r="C9" s="109">
        <v>49917.602909999994</v>
      </c>
    </row>
    <row r="10" spans="1:3" x14ac:dyDescent="0.2">
      <c r="A10" s="110" t="s">
        <v>98</v>
      </c>
      <c r="B10" s="109">
        <v>46958926.020000003</v>
      </c>
      <c r="C10" s="109">
        <v>46958.926020000006</v>
      </c>
    </row>
    <row r="11" spans="1:3" x14ac:dyDescent="0.2">
      <c r="A11" s="110" t="s">
        <v>95</v>
      </c>
      <c r="B11" s="109">
        <v>59803488.75</v>
      </c>
      <c r="C11" s="109">
        <v>59803.488749999997</v>
      </c>
    </row>
    <row r="12" spans="1:3" x14ac:dyDescent="0.2">
      <c r="A12" s="110" t="s">
        <v>100</v>
      </c>
      <c r="B12" s="109">
        <v>1559760</v>
      </c>
      <c r="C12" s="109">
        <v>1559.76</v>
      </c>
    </row>
    <row r="13" spans="1:3" x14ac:dyDescent="0.2">
      <c r="A13" s="110" t="s">
        <v>87</v>
      </c>
      <c r="B13" s="109">
        <v>38822190.660000004</v>
      </c>
      <c r="C13" s="109">
        <v>38822.190660000007</v>
      </c>
    </row>
    <row r="14" spans="1:3" x14ac:dyDescent="0.2">
      <c r="A14" s="110" t="s">
        <v>91</v>
      </c>
      <c r="B14" s="109">
        <v>2648901.62</v>
      </c>
      <c r="C14" s="109">
        <v>2648.9016200000001</v>
      </c>
    </row>
    <row r="15" spans="1:3" x14ac:dyDescent="0.2">
      <c r="A15" s="108" t="s">
        <v>65</v>
      </c>
      <c r="B15" s="109">
        <v>638551486.5799998</v>
      </c>
      <c r="C15" s="109">
        <v>638551.48657999968</v>
      </c>
    </row>
    <row r="16" spans="1:3" x14ac:dyDescent="0.2">
      <c r="A16" s="110" t="s">
        <v>110</v>
      </c>
      <c r="B16" s="109">
        <v>3201326.0300000003</v>
      </c>
      <c r="C16" s="109">
        <v>3201.3260300000002</v>
      </c>
    </row>
    <row r="17" spans="1:3" x14ac:dyDescent="0.2">
      <c r="A17" s="110" t="s">
        <v>103</v>
      </c>
      <c r="B17" s="109">
        <v>49244316.490000002</v>
      </c>
      <c r="C17" s="109">
        <v>49244.316490000005</v>
      </c>
    </row>
    <row r="18" spans="1:3" x14ac:dyDescent="0.2">
      <c r="A18" s="110" t="s">
        <v>99</v>
      </c>
      <c r="B18" s="109">
        <v>4229813.83</v>
      </c>
      <c r="C18" s="109">
        <v>4229.8138300000001</v>
      </c>
    </row>
    <row r="19" spans="1:3" x14ac:dyDescent="0.2">
      <c r="A19" s="110" t="s">
        <v>104</v>
      </c>
      <c r="B19" s="109">
        <v>4249486.1900000004</v>
      </c>
      <c r="C19" s="109">
        <v>4249.4861900000005</v>
      </c>
    </row>
    <row r="20" spans="1:3" x14ac:dyDescent="0.2">
      <c r="A20" s="110" t="s">
        <v>102</v>
      </c>
      <c r="B20" s="109">
        <v>1226335.8700000001</v>
      </c>
      <c r="C20" s="109">
        <v>1226.3358700000001</v>
      </c>
    </row>
    <row r="21" spans="1:3" x14ac:dyDescent="0.2">
      <c r="A21" s="110" t="s">
        <v>101</v>
      </c>
      <c r="B21" s="109">
        <v>25121233.449999999</v>
      </c>
      <c r="C21" s="109">
        <v>25121.23345</v>
      </c>
    </row>
    <row r="22" spans="1:3" x14ac:dyDescent="0.2">
      <c r="A22" s="110" t="s">
        <v>98</v>
      </c>
      <c r="B22" s="109">
        <v>25036211.43</v>
      </c>
      <c r="C22" s="109">
        <v>25036.211429999999</v>
      </c>
    </row>
    <row r="23" spans="1:3" x14ac:dyDescent="0.2">
      <c r="A23" s="110" t="s">
        <v>95</v>
      </c>
      <c r="B23" s="109">
        <v>36092600.399999999</v>
      </c>
      <c r="C23" s="109">
        <v>36092.600399999996</v>
      </c>
    </row>
    <row r="24" spans="1:3" x14ac:dyDescent="0.2">
      <c r="A24" s="110" t="s">
        <v>97</v>
      </c>
      <c r="B24" s="109">
        <v>38429994.509999998</v>
      </c>
      <c r="C24" s="109">
        <v>38429.994509999997</v>
      </c>
    </row>
    <row r="25" spans="1:3" x14ac:dyDescent="0.2">
      <c r="A25" s="110" t="s">
        <v>93</v>
      </c>
      <c r="B25" s="109">
        <v>145772732.56</v>
      </c>
      <c r="C25" s="109">
        <v>145772.73256</v>
      </c>
    </row>
    <row r="26" spans="1:3" x14ac:dyDescent="0.2">
      <c r="A26" s="110" t="s">
        <v>111</v>
      </c>
      <c r="B26" s="109">
        <v>259949226.32999998</v>
      </c>
      <c r="C26" s="109">
        <v>259949.22632999998</v>
      </c>
    </row>
    <row r="27" spans="1:3" x14ac:dyDescent="0.2">
      <c r="A27" s="110" t="s">
        <v>100</v>
      </c>
      <c r="B27" s="109">
        <v>134229.04999999999</v>
      </c>
      <c r="C27" s="109">
        <v>134.22905</v>
      </c>
    </row>
    <row r="28" spans="1:3" x14ac:dyDescent="0.2">
      <c r="A28" s="110" t="s">
        <v>113</v>
      </c>
      <c r="B28" s="109">
        <v>2444061.83</v>
      </c>
      <c r="C28" s="109">
        <v>2444.0618300000001</v>
      </c>
    </row>
    <row r="29" spans="1:3" x14ac:dyDescent="0.2">
      <c r="A29" s="110" t="s">
        <v>87</v>
      </c>
      <c r="B29" s="109">
        <v>24682383.649999999</v>
      </c>
      <c r="C29" s="109">
        <v>24682.38365</v>
      </c>
    </row>
    <row r="30" spans="1:3" x14ac:dyDescent="0.2">
      <c r="A30" s="110" t="s">
        <v>108</v>
      </c>
      <c r="B30" s="109">
        <v>17568130.18</v>
      </c>
      <c r="C30" s="109">
        <v>17568.13018</v>
      </c>
    </row>
    <row r="31" spans="1:3" x14ac:dyDescent="0.2">
      <c r="A31" s="110" t="s">
        <v>91</v>
      </c>
      <c r="B31" s="109">
        <v>1169404.78</v>
      </c>
      <c r="C31" s="109">
        <v>1169.4047800000001</v>
      </c>
    </row>
    <row r="32" spans="1:3" x14ac:dyDescent="0.2">
      <c r="A32" s="108" t="s">
        <v>119</v>
      </c>
      <c r="B32" s="109">
        <v>113421614.11</v>
      </c>
      <c r="C32" s="109">
        <v>113421.61410999998</v>
      </c>
    </row>
    <row r="33" spans="1:3" x14ac:dyDescent="0.2">
      <c r="A33" s="110" t="s">
        <v>110</v>
      </c>
      <c r="B33" s="109">
        <v>6935515.5300000003</v>
      </c>
      <c r="C33" s="109">
        <v>6935.5155300000006</v>
      </c>
    </row>
    <row r="34" spans="1:3" x14ac:dyDescent="0.2">
      <c r="A34" s="110" t="s">
        <v>113</v>
      </c>
      <c r="B34" s="109">
        <v>4795216.78</v>
      </c>
      <c r="C34" s="109">
        <v>4795.2167800000007</v>
      </c>
    </row>
    <row r="35" spans="1:3" x14ac:dyDescent="0.2">
      <c r="A35" s="110" t="s">
        <v>108</v>
      </c>
      <c r="B35" s="109">
        <v>101690881.8</v>
      </c>
      <c r="C35" s="109">
        <v>101690.8818</v>
      </c>
    </row>
    <row r="36" spans="1:3" x14ac:dyDescent="0.2">
      <c r="A36" s="108" t="s">
        <v>115</v>
      </c>
      <c r="B36" s="109">
        <v>1062483112.3699998</v>
      </c>
      <c r="C36" s="109">
        <v>1062483.11237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3" workbookViewId="0">
      <selection activeCell="A62" sqref="A62:XFD62"/>
    </sheetView>
  </sheetViews>
  <sheetFormatPr baseColWidth="10" defaultRowHeight="12.75" x14ac:dyDescent="0.2"/>
  <cols>
    <col min="3" max="3" width="85.85546875" bestFit="1" customWidth="1"/>
  </cols>
  <sheetData>
    <row r="1" spans="1:10" x14ac:dyDescent="0.2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</row>
    <row r="2" spans="1:10" x14ac:dyDescent="0.2">
      <c r="A2" s="106">
        <v>43888</v>
      </c>
      <c r="B2">
        <v>1514136</v>
      </c>
      <c r="C2" t="s">
        <v>87</v>
      </c>
      <c r="D2" t="s">
        <v>65</v>
      </c>
      <c r="E2">
        <v>3840519.12</v>
      </c>
      <c r="F2">
        <v>1966040</v>
      </c>
      <c r="G2" t="s">
        <v>88</v>
      </c>
      <c r="I2" t="s">
        <v>89</v>
      </c>
      <c r="J2" t="s">
        <v>90</v>
      </c>
    </row>
    <row r="3" spans="1:10" x14ac:dyDescent="0.2">
      <c r="A3" s="106">
        <v>43959</v>
      </c>
      <c r="B3">
        <v>1525245</v>
      </c>
      <c r="C3" t="s">
        <v>91</v>
      </c>
      <c r="D3" t="s">
        <v>65</v>
      </c>
      <c r="E3">
        <v>200379.3</v>
      </c>
      <c r="F3">
        <v>1992447</v>
      </c>
      <c r="G3" t="s">
        <v>88</v>
      </c>
      <c r="I3" t="s">
        <v>92</v>
      </c>
      <c r="J3" t="s">
        <v>90</v>
      </c>
    </row>
    <row r="4" spans="1:10" x14ac:dyDescent="0.2">
      <c r="A4" s="106">
        <v>43966</v>
      </c>
      <c r="B4">
        <v>1526407</v>
      </c>
      <c r="C4" t="s">
        <v>87</v>
      </c>
      <c r="D4" t="s">
        <v>65</v>
      </c>
      <c r="E4">
        <v>3887924.63</v>
      </c>
      <c r="F4">
        <v>1994498</v>
      </c>
      <c r="G4" t="s">
        <v>88</v>
      </c>
      <c r="I4" t="s">
        <v>89</v>
      </c>
      <c r="J4" t="s">
        <v>90</v>
      </c>
    </row>
    <row r="5" spans="1:10" x14ac:dyDescent="0.2">
      <c r="A5" s="106">
        <v>43950</v>
      </c>
      <c r="B5">
        <v>1523967</v>
      </c>
      <c r="C5" t="s">
        <v>87</v>
      </c>
      <c r="D5" t="s">
        <v>65</v>
      </c>
      <c r="E5">
        <v>4053374.66</v>
      </c>
      <c r="F5">
        <v>1987272</v>
      </c>
      <c r="G5" t="s">
        <v>88</v>
      </c>
      <c r="I5" t="s">
        <v>89</v>
      </c>
      <c r="J5" t="s">
        <v>90</v>
      </c>
    </row>
    <row r="6" spans="1:10" x14ac:dyDescent="0.2">
      <c r="A6" s="106">
        <v>43888</v>
      </c>
      <c r="B6">
        <v>1514134</v>
      </c>
      <c r="C6" t="s">
        <v>93</v>
      </c>
      <c r="D6" t="s">
        <v>65</v>
      </c>
      <c r="E6">
        <v>44078494.890000001</v>
      </c>
      <c r="F6">
        <v>1966032</v>
      </c>
      <c r="G6" t="s">
        <v>88</v>
      </c>
      <c r="I6" t="s">
        <v>94</v>
      </c>
      <c r="J6" t="s">
        <v>90</v>
      </c>
    </row>
    <row r="7" spans="1:10" x14ac:dyDescent="0.2">
      <c r="A7" s="106">
        <v>44011</v>
      </c>
      <c r="B7">
        <v>1534298</v>
      </c>
      <c r="C7" t="s">
        <v>91</v>
      </c>
      <c r="D7" t="s">
        <v>65</v>
      </c>
      <c r="E7">
        <v>196849.66</v>
      </c>
      <c r="F7">
        <v>2009641</v>
      </c>
      <c r="G7" t="s">
        <v>88</v>
      </c>
      <c r="I7" t="s">
        <v>92</v>
      </c>
      <c r="J7" t="s">
        <v>90</v>
      </c>
    </row>
    <row r="8" spans="1:10" x14ac:dyDescent="0.2">
      <c r="A8" s="106">
        <v>43917</v>
      </c>
      <c r="B8">
        <v>1519603</v>
      </c>
      <c r="C8" t="s">
        <v>87</v>
      </c>
      <c r="D8" t="s">
        <v>65</v>
      </c>
      <c r="E8">
        <v>4357428.95</v>
      </c>
      <c r="F8">
        <v>1977864</v>
      </c>
      <c r="G8" t="s">
        <v>88</v>
      </c>
      <c r="I8" t="s">
        <v>89</v>
      </c>
      <c r="J8" t="s">
        <v>90</v>
      </c>
    </row>
    <row r="9" spans="1:10" x14ac:dyDescent="0.2">
      <c r="A9" s="106">
        <v>43959</v>
      </c>
      <c r="B9">
        <v>1525244</v>
      </c>
      <c r="C9" t="s">
        <v>91</v>
      </c>
      <c r="D9" t="s">
        <v>65</v>
      </c>
      <c r="E9">
        <v>199558.97</v>
      </c>
      <c r="F9">
        <v>1992446</v>
      </c>
      <c r="G9" t="s">
        <v>88</v>
      </c>
      <c r="I9" t="s">
        <v>92</v>
      </c>
      <c r="J9" t="s">
        <v>90</v>
      </c>
    </row>
    <row r="10" spans="1:10" x14ac:dyDescent="0.2">
      <c r="A10" s="106">
        <v>43857</v>
      </c>
      <c r="B10">
        <v>1509365</v>
      </c>
      <c r="C10" t="s">
        <v>87</v>
      </c>
      <c r="D10" t="s">
        <v>65</v>
      </c>
      <c r="E10">
        <v>4285122.76</v>
      </c>
      <c r="F10">
        <v>1955516</v>
      </c>
      <c r="G10" t="s">
        <v>88</v>
      </c>
      <c r="I10" t="s">
        <v>89</v>
      </c>
      <c r="J10" t="s">
        <v>90</v>
      </c>
    </row>
    <row r="11" spans="1:10" x14ac:dyDescent="0.2">
      <c r="A11" s="106">
        <v>44011</v>
      </c>
      <c r="B11">
        <v>1534130</v>
      </c>
      <c r="C11" t="s">
        <v>91</v>
      </c>
      <c r="D11" t="s">
        <v>65</v>
      </c>
      <c r="E11">
        <v>192924.79999999999</v>
      </c>
      <c r="F11">
        <v>2009094</v>
      </c>
      <c r="G11" t="s">
        <v>88</v>
      </c>
      <c r="I11" t="s">
        <v>92</v>
      </c>
      <c r="J11" t="s">
        <v>90</v>
      </c>
    </row>
    <row r="12" spans="1:10" x14ac:dyDescent="0.2">
      <c r="A12" s="106">
        <v>44011</v>
      </c>
      <c r="B12">
        <v>1534128</v>
      </c>
      <c r="C12" t="s">
        <v>87</v>
      </c>
      <c r="D12" t="s">
        <v>65</v>
      </c>
      <c r="E12">
        <v>4258013.53</v>
      </c>
      <c r="F12">
        <v>2009092</v>
      </c>
      <c r="G12" t="s">
        <v>88</v>
      </c>
      <c r="I12" t="s">
        <v>89</v>
      </c>
      <c r="J12" t="s">
        <v>90</v>
      </c>
    </row>
    <row r="13" spans="1:10" x14ac:dyDescent="0.2">
      <c r="A13" s="106">
        <v>43860</v>
      </c>
      <c r="B13">
        <v>1510070</v>
      </c>
      <c r="C13" t="s">
        <v>91</v>
      </c>
      <c r="D13" t="s">
        <v>65</v>
      </c>
      <c r="E13">
        <v>175750.63</v>
      </c>
      <c r="F13">
        <v>1956490</v>
      </c>
      <c r="G13" t="s">
        <v>88</v>
      </c>
      <c r="I13" t="s">
        <v>92</v>
      </c>
      <c r="J13" t="s">
        <v>90</v>
      </c>
    </row>
    <row r="14" spans="1:10" x14ac:dyDescent="0.2">
      <c r="A14" s="106">
        <v>43959</v>
      </c>
      <c r="B14">
        <v>1525243</v>
      </c>
      <c r="C14" t="s">
        <v>91</v>
      </c>
      <c r="D14" t="s">
        <v>65</v>
      </c>
      <c r="E14">
        <v>203941.42</v>
      </c>
      <c r="F14">
        <v>1992444</v>
      </c>
      <c r="G14" t="s">
        <v>88</v>
      </c>
      <c r="I14" t="s">
        <v>92</v>
      </c>
      <c r="J14" t="s">
        <v>90</v>
      </c>
    </row>
    <row r="15" spans="1:10" x14ac:dyDescent="0.2">
      <c r="A15" s="106">
        <v>43917</v>
      </c>
      <c r="B15">
        <v>1519599</v>
      </c>
      <c r="C15" t="s">
        <v>93</v>
      </c>
      <c r="D15" t="s">
        <v>65</v>
      </c>
      <c r="E15">
        <v>45603980.149999999</v>
      </c>
      <c r="F15">
        <v>1977862</v>
      </c>
      <c r="G15" t="s">
        <v>88</v>
      </c>
      <c r="I15" t="s">
        <v>94</v>
      </c>
      <c r="J15" t="s">
        <v>90</v>
      </c>
    </row>
    <row r="16" spans="1:10" x14ac:dyDescent="0.2">
      <c r="A16" s="106">
        <v>43857</v>
      </c>
      <c r="B16">
        <v>1509363</v>
      </c>
      <c r="C16" t="s">
        <v>93</v>
      </c>
      <c r="D16" t="s">
        <v>65</v>
      </c>
      <c r="E16">
        <v>56090257.520000003</v>
      </c>
      <c r="F16">
        <v>1955514</v>
      </c>
      <c r="G16" t="s">
        <v>88</v>
      </c>
      <c r="I16" t="s">
        <v>94</v>
      </c>
      <c r="J16" t="s">
        <v>90</v>
      </c>
    </row>
    <row r="17" spans="1:10" x14ac:dyDescent="0.2">
      <c r="A17" s="106">
        <v>43928</v>
      </c>
      <c r="B17">
        <v>1520772</v>
      </c>
      <c r="C17" s="106" t="s">
        <v>100</v>
      </c>
      <c r="D17" t="s">
        <v>65</v>
      </c>
      <c r="E17">
        <v>134229.04999999999</v>
      </c>
      <c r="F17">
        <v>1982775</v>
      </c>
      <c r="G17" t="s">
        <v>88</v>
      </c>
      <c r="H17" t="s">
        <v>96</v>
      </c>
      <c r="I17" t="s">
        <v>105</v>
      </c>
      <c r="J17" t="s">
        <v>106</v>
      </c>
    </row>
    <row r="18" spans="1:10" x14ac:dyDescent="0.2">
      <c r="A18" s="106">
        <v>43944</v>
      </c>
      <c r="B18">
        <v>1522721</v>
      </c>
      <c r="C18" s="106" t="s">
        <v>102</v>
      </c>
      <c r="D18" t="s">
        <v>65</v>
      </c>
      <c r="E18">
        <v>1226335.8700000001</v>
      </c>
      <c r="F18">
        <v>1985626</v>
      </c>
      <c r="G18" t="s">
        <v>88</v>
      </c>
      <c r="H18" t="s">
        <v>96</v>
      </c>
      <c r="I18" t="s">
        <v>105</v>
      </c>
      <c r="J18" t="s">
        <v>106</v>
      </c>
    </row>
    <row r="19" spans="1:10" x14ac:dyDescent="0.2">
      <c r="A19" s="106">
        <v>43966</v>
      </c>
      <c r="B19">
        <v>1526448</v>
      </c>
      <c r="C19" s="106" t="s">
        <v>103</v>
      </c>
      <c r="D19" t="s">
        <v>65</v>
      </c>
      <c r="E19">
        <v>49244316.490000002</v>
      </c>
      <c r="F19">
        <v>1994675</v>
      </c>
      <c r="G19" t="s">
        <v>88</v>
      </c>
      <c r="I19" t="s">
        <v>105</v>
      </c>
      <c r="J19" t="s">
        <v>107</v>
      </c>
    </row>
    <row r="20" spans="1:10" x14ac:dyDescent="0.2">
      <c r="A20" s="106">
        <v>43966</v>
      </c>
      <c r="B20">
        <v>1526448</v>
      </c>
      <c r="C20" s="106" t="s">
        <v>103</v>
      </c>
      <c r="D20" t="s">
        <v>65</v>
      </c>
      <c r="E20">
        <v>49244316.490000002</v>
      </c>
      <c r="F20">
        <v>1994681</v>
      </c>
      <c r="G20" t="s">
        <v>88</v>
      </c>
      <c r="H20" t="s">
        <v>96</v>
      </c>
      <c r="I20" t="s">
        <v>105</v>
      </c>
      <c r="J20" t="s">
        <v>106</v>
      </c>
    </row>
    <row r="21" spans="1:10" x14ac:dyDescent="0.2">
      <c r="A21" s="106">
        <v>43985</v>
      </c>
      <c r="B21">
        <v>1529525</v>
      </c>
      <c r="C21" s="106" t="s">
        <v>97</v>
      </c>
      <c r="D21" t="s">
        <v>65</v>
      </c>
      <c r="E21">
        <v>5283110.53</v>
      </c>
      <c r="F21">
        <v>2001894</v>
      </c>
      <c r="G21" t="s">
        <v>88</v>
      </c>
      <c r="I21" t="s">
        <v>105</v>
      </c>
      <c r="J21" t="s">
        <v>90</v>
      </c>
    </row>
    <row r="22" spans="1:10" x14ac:dyDescent="0.2">
      <c r="A22" s="106">
        <v>43934</v>
      </c>
      <c r="B22">
        <v>1521343</v>
      </c>
      <c r="C22" s="106" t="s">
        <v>99</v>
      </c>
      <c r="D22" t="s">
        <v>65</v>
      </c>
      <c r="E22">
        <v>4229813.83</v>
      </c>
      <c r="F22">
        <v>1983361</v>
      </c>
      <c r="G22" t="s">
        <v>88</v>
      </c>
      <c r="H22" t="s">
        <v>96</v>
      </c>
      <c r="I22" t="s">
        <v>105</v>
      </c>
      <c r="J22" t="s">
        <v>106</v>
      </c>
    </row>
    <row r="23" spans="1:10" x14ac:dyDescent="0.2">
      <c r="A23" s="106">
        <v>43998</v>
      </c>
      <c r="B23">
        <v>1531596</v>
      </c>
      <c r="C23" s="106" t="s">
        <v>104</v>
      </c>
      <c r="D23" t="s">
        <v>65</v>
      </c>
      <c r="E23">
        <v>4249486.1900000004</v>
      </c>
      <c r="F23">
        <v>2005915</v>
      </c>
      <c r="G23" t="s">
        <v>88</v>
      </c>
      <c r="H23" t="s">
        <v>96</v>
      </c>
      <c r="I23" t="s">
        <v>105</v>
      </c>
      <c r="J23" t="s">
        <v>106</v>
      </c>
    </row>
    <row r="24" spans="1:10" x14ac:dyDescent="0.2">
      <c r="A24" s="106">
        <v>43966</v>
      </c>
      <c r="B24">
        <v>1526448</v>
      </c>
      <c r="C24" s="106" t="s">
        <v>103</v>
      </c>
      <c r="D24" t="s">
        <v>65</v>
      </c>
      <c r="E24">
        <v>-49244316.490000002</v>
      </c>
      <c r="F24">
        <v>1994675</v>
      </c>
      <c r="G24" t="s">
        <v>88</v>
      </c>
      <c r="I24" t="s">
        <v>105</v>
      </c>
      <c r="J24" t="s">
        <v>107</v>
      </c>
    </row>
    <row r="25" spans="1:10" x14ac:dyDescent="0.2">
      <c r="A25" s="106">
        <v>43873</v>
      </c>
      <c r="B25">
        <v>1511900</v>
      </c>
      <c r="C25" s="106" t="s">
        <v>101</v>
      </c>
      <c r="D25" t="s">
        <v>65</v>
      </c>
      <c r="E25">
        <v>25121233.449999999</v>
      </c>
      <c r="F25">
        <v>1961428</v>
      </c>
      <c r="G25" t="s">
        <v>88</v>
      </c>
      <c r="H25" t="s">
        <v>96</v>
      </c>
      <c r="I25" t="s">
        <v>105</v>
      </c>
      <c r="J25" t="s">
        <v>106</v>
      </c>
    </row>
    <row r="26" spans="1:10" x14ac:dyDescent="0.2">
      <c r="A26" s="106">
        <v>43878</v>
      </c>
      <c r="B26">
        <v>1512485</v>
      </c>
      <c r="C26" s="106" t="s">
        <v>95</v>
      </c>
      <c r="D26" t="s">
        <v>65</v>
      </c>
      <c r="E26">
        <v>36092600.399999999</v>
      </c>
      <c r="F26">
        <v>1963048</v>
      </c>
      <c r="G26" t="s">
        <v>88</v>
      </c>
      <c r="H26" t="s">
        <v>96</v>
      </c>
      <c r="I26" t="s">
        <v>105</v>
      </c>
      <c r="J26" t="s">
        <v>106</v>
      </c>
    </row>
    <row r="27" spans="1:10" x14ac:dyDescent="0.2">
      <c r="A27" s="106">
        <v>43917</v>
      </c>
      <c r="B27">
        <v>1519598</v>
      </c>
      <c r="C27" t="s">
        <v>97</v>
      </c>
      <c r="D27" t="s">
        <v>65</v>
      </c>
      <c r="E27">
        <v>33146883.98</v>
      </c>
      <c r="F27">
        <v>1977861</v>
      </c>
      <c r="G27" t="s">
        <v>88</v>
      </c>
      <c r="I27" t="s">
        <v>105</v>
      </c>
      <c r="J27" t="s">
        <v>90</v>
      </c>
    </row>
    <row r="28" spans="1:10" x14ac:dyDescent="0.2">
      <c r="A28" s="106">
        <v>43924</v>
      </c>
      <c r="B28">
        <v>1518463</v>
      </c>
      <c r="C28" t="s">
        <v>98</v>
      </c>
      <c r="D28" t="s">
        <v>65</v>
      </c>
      <c r="E28">
        <v>25036211.43</v>
      </c>
      <c r="F28">
        <v>1981319</v>
      </c>
      <c r="G28" t="s">
        <v>88</v>
      </c>
      <c r="H28" t="s">
        <v>96</v>
      </c>
      <c r="I28" t="s">
        <v>105</v>
      </c>
      <c r="J28" t="s">
        <v>106</v>
      </c>
    </row>
    <row r="29" spans="1:10" x14ac:dyDescent="0.2">
      <c r="A29" s="106">
        <v>43888</v>
      </c>
      <c r="B29">
        <v>1514138</v>
      </c>
      <c r="C29" t="s">
        <v>108</v>
      </c>
      <c r="D29" t="s">
        <v>65</v>
      </c>
      <c r="E29">
        <v>4774930.5999999996</v>
      </c>
      <c r="F29">
        <v>1966051</v>
      </c>
      <c r="G29" t="s">
        <v>88</v>
      </c>
      <c r="I29" t="s">
        <v>109</v>
      </c>
      <c r="J29" t="s">
        <v>90</v>
      </c>
    </row>
    <row r="30" spans="1:10" x14ac:dyDescent="0.2">
      <c r="A30" s="106">
        <v>43888</v>
      </c>
      <c r="B30">
        <v>1514133</v>
      </c>
      <c r="C30" t="s">
        <v>110</v>
      </c>
      <c r="D30" t="s">
        <v>65</v>
      </c>
      <c r="E30">
        <v>1652289.3</v>
      </c>
      <c r="F30">
        <v>1966031</v>
      </c>
      <c r="G30" t="s">
        <v>88</v>
      </c>
      <c r="I30" t="s">
        <v>109</v>
      </c>
      <c r="J30" t="s">
        <v>90</v>
      </c>
    </row>
    <row r="31" spans="1:10" x14ac:dyDescent="0.2">
      <c r="A31" s="106">
        <v>44011</v>
      </c>
      <c r="B31">
        <v>1534127</v>
      </c>
      <c r="C31" t="s">
        <v>111</v>
      </c>
      <c r="D31" t="s">
        <v>65</v>
      </c>
      <c r="E31">
        <v>1427266.71</v>
      </c>
      <c r="F31">
        <v>2009090</v>
      </c>
      <c r="G31" t="s">
        <v>88</v>
      </c>
      <c r="I31" t="s">
        <v>112</v>
      </c>
      <c r="J31" t="s">
        <v>90</v>
      </c>
    </row>
    <row r="32" spans="1:10" x14ac:dyDescent="0.2">
      <c r="A32" s="106">
        <v>43909</v>
      </c>
      <c r="B32">
        <v>1518057</v>
      </c>
      <c r="C32" t="s">
        <v>110</v>
      </c>
      <c r="D32" t="s">
        <v>65</v>
      </c>
      <c r="E32">
        <v>787617.81</v>
      </c>
      <c r="F32">
        <v>1975251</v>
      </c>
      <c r="G32" t="s">
        <v>88</v>
      </c>
      <c r="I32" t="s">
        <v>109</v>
      </c>
      <c r="J32" t="s">
        <v>90</v>
      </c>
    </row>
    <row r="33" spans="1:10" x14ac:dyDescent="0.2">
      <c r="A33" s="106">
        <v>43979</v>
      </c>
      <c r="B33">
        <v>1528601</v>
      </c>
      <c r="C33" t="s">
        <v>113</v>
      </c>
      <c r="D33" t="s">
        <v>65</v>
      </c>
      <c r="E33">
        <v>488717.98</v>
      </c>
      <c r="F33">
        <v>1997250</v>
      </c>
      <c r="G33" t="s">
        <v>88</v>
      </c>
      <c r="I33" t="s">
        <v>112</v>
      </c>
      <c r="J33" t="s">
        <v>90</v>
      </c>
    </row>
    <row r="34" spans="1:10" x14ac:dyDescent="0.2">
      <c r="A34" s="106">
        <v>43950</v>
      </c>
      <c r="B34">
        <v>1523964</v>
      </c>
      <c r="C34" t="s">
        <v>113</v>
      </c>
      <c r="D34" t="s">
        <v>65</v>
      </c>
      <c r="E34">
        <v>477682.42</v>
      </c>
      <c r="F34">
        <v>1987270</v>
      </c>
      <c r="G34" t="s">
        <v>88</v>
      </c>
      <c r="I34" t="s">
        <v>112</v>
      </c>
      <c r="J34" t="s">
        <v>90</v>
      </c>
    </row>
    <row r="35" spans="1:10" x14ac:dyDescent="0.2">
      <c r="A35" s="106">
        <v>43909</v>
      </c>
      <c r="B35">
        <v>1518058</v>
      </c>
      <c r="C35" t="s">
        <v>108</v>
      </c>
      <c r="D35" t="s">
        <v>65</v>
      </c>
      <c r="E35">
        <v>5397447.3399999999</v>
      </c>
      <c r="F35">
        <v>1975252</v>
      </c>
      <c r="G35" t="s">
        <v>88</v>
      </c>
      <c r="I35" t="s">
        <v>109</v>
      </c>
      <c r="J35" t="s">
        <v>90</v>
      </c>
    </row>
    <row r="36" spans="1:10" x14ac:dyDescent="0.2">
      <c r="A36" s="106">
        <v>43888</v>
      </c>
      <c r="B36">
        <v>1514137</v>
      </c>
      <c r="C36" t="s">
        <v>108</v>
      </c>
      <c r="D36" t="s">
        <v>65</v>
      </c>
      <c r="E36">
        <v>7395752.2400000002</v>
      </c>
      <c r="F36">
        <v>1966045</v>
      </c>
      <c r="G36" t="s">
        <v>88</v>
      </c>
      <c r="I36" t="s">
        <v>109</v>
      </c>
      <c r="J36" t="s">
        <v>90</v>
      </c>
    </row>
    <row r="37" spans="1:10" x14ac:dyDescent="0.2">
      <c r="A37" s="106">
        <v>43888</v>
      </c>
      <c r="B37">
        <v>1514135</v>
      </c>
      <c r="C37" t="s">
        <v>111</v>
      </c>
      <c r="D37" t="s">
        <v>65</v>
      </c>
      <c r="E37">
        <v>71624999.909999996</v>
      </c>
      <c r="F37">
        <v>1966033</v>
      </c>
      <c r="G37" t="s">
        <v>88</v>
      </c>
      <c r="I37" t="s">
        <v>112</v>
      </c>
      <c r="J37" t="s">
        <v>90</v>
      </c>
    </row>
    <row r="38" spans="1:10" x14ac:dyDescent="0.2">
      <c r="A38" s="106">
        <v>43857</v>
      </c>
      <c r="B38">
        <v>1509364</v>
      </c>
      <c r="C38" t="s">
        <v>111</v>
      </c>
      <c r="D38" t="s">
        <v>65</v>
      </c>
      <c r="E38">
        <v>186896959.71000001</v>
      </c>
      <c r="F38">
        <v>1955515</v>
      </c>
      <c r="G38" t="s">
        <v>88</v>
      </c>
      <c r="I38" t="s">
        <v>112</v>
      </c>
      <c r="J38" t="s">
        <v>90</v>
      </c>
    </row>
    <row r="39" spans="1:10" x14ac:dyDescent="0.2">
      <c r="A39" s="106">
        <v>43917</v>
      </c>
      <c r="B39">
        <v>1519601</v>
      </c>
      <c r="C39" t="s">
        <v>113</v>
      </c>
      <c r="D39" t="s">
        <v>65</v>
      </c>
      <c r="E39">
        <v>1477661.43</v>
      </c>
      <c r="F39">
        <v>1977863</v>
      </c>
      <c r="G39" t="s">
        <v>88</v>
      </c>
      <c r="I39" t="s">
        <v>112</v>
      </c>
      <c r="J39" t="s">
        <v>90</v>
      </c>
    </row>
    <row r="40" spans="1:10" x14ac:dyDescent="0.2">
      <c r="A40" s="106">
        <v>43950</v>
      </c>
      <c r="B40">
        <v>1523963</v>
      </c>
      <c r="C40" t="s">
        <v>110</v>
      </c>
      <c r="D40" t="s">
        <v>65</v>
      </c>
      <c r="E40">
        <v>761418.92</v>
      </c>
      <c r="F40">
        <v>1987268</v>
      </c>
      <c r="G40" t="s">
        <v>88</v>
      </c>
      <c r="I40" t="s">
        <v>109</v>
      </c>
      <c r="J40" t="s">
        <v>90</v>
      </c>
    </row>
    <row r="41" spans="1:10" x14ac:dyDescent="0.2">
      <c r="A41" s="106">
        <v>43917</v>
      </c>
      <c r="B41">
        <v>1519603</v>
      </c>
      <c r="C41" t="s">
        <v>87</v>
      </c>
      <c r="D41" t="s">
        <v>22</v>
      </c>
      <c r="E41">
        <v>6470365.1100000003</v>
      </c>
      <c r="F41">
        <v>1977864</v>
      </c>
      <c r="G41" t="s">
        <v>88</v>
      </c>
      <c r="I41" t="s">
        <v>89</v>
      </c>
      <c r="J41" t="s">
        <v>90</v>
      </c>
    </row>
    <row r="42" spans="1:10" x14ac:dyDescent="0.2">
      <c r="A42" s="106">
        <v>43857</v>
      </c>
      <c r="B42">
        <v>1509365</v>
      </c>
      <c r="C42" t="s">
        <v>87</v>
      </c>
      <c r="D42" t="s">
        <v>22</v>
      </c>
      <c r="E42">
        <v>6470365.1100000003</v>
      </c>
      <c r="F42">
        <v>1955516</v>
      </c>
      <c r="G42" t="s">
        <v>88</v>
      </c>
      <c r="I42" t="s">
        <v>89</v>
      </c>
      <c r="J42" t="s">
        <v>90</v>
      </c>
    </row>
    <row r="43" spans="1:10" x14ac:dyDescent="0.2">
      <c r="A43" s="106">
        <v>43959</v>
      </c>
      <c r="B43">
        <v>1525244</v>
      </c>
      <c r="C43" t="s">
        <v>91</v>
      </c>
      <c r="D43" t="s">
        <v>22</v>
      </c>
      <c r="E43">
        <v>434364.04</v>
      </c>
      <c r="F43">
        <v>1992446</v>
      </c>
      <c r="G43" t="s">
        <v>88</v>
      </c>
      <c r="I43" t="s">
        <v>92</v>
      </c>
      <c r="J43" t="s">
        <v>90</v>
      </c>
    </row>
    <row r="44" spans="1:10" x14ac:dyDescent="0.2">
      <c r="A44" s="106">
        <v>43888</v>
      </c>
      <c r="B44">
        <v>1514136</v>
      </c>
      <c r="C44" t="s">
        <v>87</v>
      </c>
      <c r="D44" t="s">
        <v>22</v>
      </c>
      <c r="E44">
        <v>6470365.1100000003</v>
      </c>
      <c r="F44">
        <v>1966040</v>
      </c>
      <c r="G44" t="s">
        <v>88</v>
      </c>
      <c r="I44" t="s">
        <v>89</v>
      </c>
      <c r="J44" t="s">
        <v>90</v>
      </c>
    </row>
    <row r="45" spans="1:10" x14ac:dyDescent="0.2">
      <c r="A45" s="106">
        <v>44011</v>
      </c>
      <c r="B45">
        <v>1534298</v>
      </c>
      <c r="C45" t="s">
        <v>91</v>
      </c>
      <c r="D45" t="s">
        <v>22</v>
      </c>
      <c r="E45">
        <v>428466.92</v>
      </c>
      <c r="F45">
        <v>2009641</v>
      </c>
      <c r="G45" t="s">
        <v>88</v>
      </c>
      <c r="I45" t="s">
        <v>92</v>
      </c>
      <c r="J45" t="s">
        <v>90</v>
      </c>
    </row>
    <row r="46" spans="1:10" x14ac:dyDescent="0.2">
      <c r="A46" s="106">
        <v>43959</v>
      </c>
      <c r="B46">
        <v>1525245</v>
      </c>
      <c r="C46" t="s">
        <v>91</v>
      </c>
      <c r="D46" t="s">
        <v>22</v>
      </c>
      <c r="E46">
        <v>436149.6</v>
      </c>
      <c r="F46">
        <v>1992447</v>
      </c>
      <c r="G46" t="s">
        <v>88</v>
      </c>
      <c r="I46" t="s">
        <v>92</v>
      </c>
      <c r="J46" t="s">
        <v>90</v>
      </c>
    </row>
    <row r="47" spans="1:10" x14ac:dyDescent="0.2">
      <c r="A47" s="106">
        <v>44011</v>
      </c>
      <c r="B47">
        <v>1534128</v>
      </c>
      <c r="C47" t="s">
        <v>87</v>
      </c>
      <c r="D47" t="s">
        <v>22</v>
      </c>
      <c r="E47">
        <v>6470365.1100000003</v>
      </c>
      <c r="F47">
        <v>2009092</v>
      </c>
      <c r="G47" t="s">
        <v>88</v>
      </c>
      <c r="I47" t="s">
        <v>89</v>
      </c>
      <c r="J47" t="s">
        <v>90</v>
      </c>
    </row>
    <row r="48" spans="1:10" x14ac:dyDescent="0.2">
      <c r="A48" s="106">
        <v>43966</v>
      </c>
      <c r="B48">
        <v>1526407</v>
      </c>
      <c r="C48" t="s">
        <v>87</v>
      </c>
      <c r="D48" t="s">
        <v>22</v>
      </c>
      <c r="E48">
        <v>6470365.1100000003</v>
      </c>
      <c r="F48">
        <v>1994498</v>
      </c>
      <c r="G48" t="s">
        <v>88</v>
      </c>
      <c r="I48" t="s">
        <v>89</v>
      </c>
      <c r="J48" t="s">
        <v>90</v>
      </c>
    </row>
    <row r="49" spans="1:10" x14ac:dyDescent="0.2">
      <c r="A49" s="106">
        <v>43950</v>
      </c>
      <c r="B49">
        <v>1523967</v>
      </c>
      <c r="C49" t="s">
        <v>87</v>
      </c>
      <c r="D49" t="s">
        <v>22</v>
      </c>
      <c r="E49">
        <v>6470365.1100000003</v>
      </c>
      <c r="F49">
        <v>1987272</v>
      </c>
      <c r="G49" t="s">
        <v>88</v>
      </c>
      <c r="I49" t="s">
        <v>89</v>
      </c>
      <c r="J49" t="s">
        <v>90</v>
      </c>
    </row>
    <row r="50" spans="1:10" x14ac:dyDescent="0.2">
      <c r="A50" s="106">
        <v>43860</v>
      </c>
      <c r="B50">
        <v>1510070</v>
      </c>
      <c r="C50" t="s">
        <v>91</v>
      </c>
      <c r="D50" t="s">
        <v>22</v>
      </c>
      <c r="E50">
        <v>486096.02</v>
      </c>
      <c r="F50">
        <v>1956490</v>
      </c>
      <c r="G50" t="s">
        <v>88</v>
      </c>
      <c r="I50" t="s">
        <v>92</v>
      </c>
      <c r="J50" t="s">
        <v>90</v>
      </c>
    </row>
    <row r="51" spans="1:10" x14ac:dyDescent="0.2">
      <c r="A51" s="106">
        <v>43959</v>
      </c>
      <c r="B51">
        <v>1525243</v>
      </c>
      <c r="C51" t="s">
        <v>91</v>
      </c>
      <c r="D51" t="s">
        <v>22</v>
      </c>
      <c r="E51">
        <v>443901.04</v>
      </c>
      <c r="F51">
        <v>1992444</v>
      </c>
      <c r="G51" t="s">
        <v>88</v>
      </c>
      <c r="I51" t="s">
        <v>92</v>
      </c>
      <c r="J51" t="s">
        <v>90</v>
      </c>
    </row>
    <row r="52" spans="1:10" x14ac:dyDescent="0.2">
      <c r="A52" s="106">
        <v>44011</v>
      </c>
      <c r="B52">
        <v>1534130</v>
      </c>
      <c r="C52" t="s">
        <v>91</v>
      </c>
      <c r="D52" t="s">
        <v>22</v>
      </c>
      <c r="E52">
        <v>419924</v>
      </c>
      <c r="F52">
        <v>2009094</v>
      </c>
      <c r="G52" t="s">
        <v>88</v>
      </c>
      <c r="I52" t="s">
        <v>92</v>
      </c>
      <c r="J52" t="s">
        <v>90</v>
      </c>
    </row>
    <row r="53" spans="1:10" x14ac:dyDescent="0.2">
      <c r="A53" s="106">
        <v>43928</v>
      </c>
      <c r="B53">
        <v>1520772</v>
      </c>
      <c r="C53" t="s">
        <v>100</v>
      </c>
      <c r="D53" t="s">
        <v>22</v>
      </c>
      <c r="E53">
        <v>1559760</v>
      </c>
      <c r="F53">
        <v>1982775</v>
      </c>
      <c r="G53" t="s">
        <v>88</v>
      </c>
      <c r="H53" t="s">
        <v>96</v>
      </c>
      <c r="I53" t="s">
        <v>105</v>
      </c>
      <c r="J53" t="s">
        <v>106</v>
      </c>
    </row>
    <row r="54" spans="1:10" x14ac:dyDescent="0.2">
      <c r="A54" s="106">
        <v>43966</v>
      </c>
      <c r="B54">
        <v>1526448</v>
      </c>
      <c r="C54" t="s">
        <v>103</v>
      </c>
      <c r="D54" t="s">
        <v>22</v>
      </c>
      <c r="E54">
        <v>-98805123.239999995</v>
      </c>
      <c r="F54">
        <v>1994675</v>
      </c>
      <c r="G54" t="s">
        <v>88</v>
      </c>
      <c r="I54" t="s">
        <v>105</v>
      </c>
      <c r="J54" t="s">
        <v>107</v>
      </c>
    </row>
    <row r="55" spans="1:10" x14ac:dyDescent="0.2">
      <c r="A55" s="106">
        <v>43998</v>
      </c>
      <c r="B55">
        <v>1531596</v>
      </c>
      <c r="C55" t="s">
        <v>104</v>
      </c>
      <c r="D55" t="s">
        <v>22</v>
      </c>
      <c r="E55">
        <v>7456040.21</v>
      </c>
      <c r="F55">
        <v>2005915</v>
      </c>
      <c r="G55" t="s">
        <v>88</v>
      </c>
      <c r="H55" t="s">
        <v>96</v>
      </c>
      <c r="I55" t="s">
        <v>105</v>
      </c>
      <c r="J55" t="s">
        <v>106</v>
      </c>
    </row>
    <row r="56" spans="1:10" x14ac:dyDescent="0.2">
      <c r="A56" s="106">
        <v>43878</v>
      </c>
      <c r="B56">
        <v>1512485</v>
      </c>
      <c r="C56" t="s">
        <v>95</v>
      </c>
      <c r="D56" t="s">
        <v>22</v>
      </c>
      <c r="E56">
        <v>59803488.75</v>
      </c>
      <c r="F56">
        <v>1963048</v>
      </c>
      <c r="G56" t="s">
        <v>88</v>
      </c>
      <c r="H56" t="s">
        <v>96</v>
      </c>
      <c r="I56" t="s">
        <v>105</v>
      </c>
      <c r="J56" t="s">
        <v>106</v>
      </c>
    </row>
    <row r="57" spans="1:10" x14ac:dyDescent="0.2">
      <c r="A57" s="106">
        <v>43966</v>
      </c>
      <c r="B57">
        <v>1526448</v>
      </c>
      <c r="C57" t="s">
        <v>103</v>
      </c>
      <c r="D57" t="s">
        <v>22</v>
      </c>
      <c r="E57">
        <v>98805123.239999995</v>
      </c>
      <c r="F57">
        <v>1994675</v>
      </c>
      <c r="G57" t="s">
        <v>88</v>
      </c>
      <c r="I57" t="s">
        <v>105</v>
      </c>
      <c r="J57" t="s">
        <v>107</v>
      </c>
    </row>
    <row r="58" spans="1:10" x14ac:dyDescent="0.2">
      <c r="A58" s="106">
        <v>43873</v>
      </c>
      <c r="B58">
        <v>1511900</v>
      </c>
      <c r="C58" t="s">
        <v>101</v>
      </c>
      <c r="D58" t="s">
        <v>22</v>
      </c>
      <c r="E58">
        <v>49917602.909999996</v>
      </c>
      <c r="F58">
        <v>1961428</v>
      </c>
      <c r="G58" t="s">
        <v>88</v>
      </c>
      <c r="H58" t="s">
        <v>96</v>
      </c>
      <c r="I58" t="s">
        <v>105</v>
      </c>
      <c r="J58" t="s">
        <v>106</v>
      </c>
    </row>
    <row r="59" spans="1:10" x14ac:dyDescent="0.2">
      <c r="A59" s="106">
        <v>43924</v>
      </c>
      <c r="B59">
        <v>1518463</v>
      </c>
      <c r="C59" t="s">
        <v>98</v>
      </c>
      <c r="D59" t="s">
        <v>22</v>
      </c>
      <c r="E59">
        <v>46958926.020000003</v>
      </c>
      <c r="F59">
        <v>1981319</v>
      </c>
      <c r="G59" t="s">
        <v>88</v>
      </c>
      <c r="H59" t="s">
        <v>96</v>
      </c>
      <c r="I59" t="s">
        <v>105</v>
      </c>
      <c r="J59" t="s">
        <v>106</v>
      </c>
    </row>
    <row r="60" spans="1:10" x14ac:dyDescent="0.2">
      <c r="A60" s="106">
        <v>43944</v>
      </c>
      <c r="B60">
        <v>1522721</v>
      </c>
      <c r="C60" t="s">
        <v>102</v>
      </c>
      <c r="D60" t="s">
        <v>22</v>
      </c>
      <c r="E60">
        <v>4537978.2699999996</v>
      </c>
      <c r="F60">
        <v>1985626</v>
      </c>
      <c r="G60" t="s">
        <v>88</v>
      </c>
      <c r="H60" t="s">
        <v>96</v>
      </c>
      <c r="I60" t="s">
        <v>105</v>
      </c>
      <c r="J60" t="s">
        <v>106</v>
      </c>
    </row>
    <row r="61" spans="1:10" x14ac:dyDescent="0.2">
      <c r="A61" s="106">
        <v>43966</v>
      </c>
      <c r="B61">
        <v>1526448</v>
      </c>
      <c r="C61" t="s">
        <v>103</v>
      </c>
      <c r="D61" t="s">
        <v>22</v>
      </c>
      <c r="E61">
        <v>98805123.239999995</v>
      </c>
      <c r="F61">
        <v>1994681</v>
      </c>
      <c r="G61" t="s">
        <v>88</v>
      </c>
      <c r="H61" t="s">
        <v>96</v>
      </c>
      <c r="I61" t="s">
        <v>105</v>
      </c>
      <c r="J61" t="s">
        <v>106</v>
      </c>
    </row>
    <row r="62" spans="1:10" x14ac:dyDescent="0.2">
      <c r="A62" s="106">
        <v>43950</v>
      </c>
      <c r="B62">
        <v>1523963</v>
      </c>
      <c r="C62" t="s">
        <v>110</v>
      </c>
      <c r="D62" t="s">
        <v>119</v>
      </c>
      <c r="E62">
        <v>1772791.47</v>
      </c>
      <c r="F62">
        <v>1987268</v>
      </c>
      <c r="G62" t="s">
        <v>88</v>
      </c>
      <c r="I62" t="s">
        <v>109</v>
      </c>
      <c r="J62" t="s">
        <v>90</v>
      </c>
    </row>
    <row r="63" spans="1:10" x14ac:dyDescent="0.2">
      <c r="A63" s="106">
        <v>43888</v>
      </c>
      <c r="B63">
        <v>1514138</v>
      </c>
      <c r="C63" t="s">
        <v>108</v>
      </c>
      <c r="D63" t="s">
        <v>119</v>
      </c>
      <c r="E63">
        <v>28478711.309999999</v>
      </c>
      <c r="F63">
        <v>1966051</v>
      </c>
      <c r="G63" t="s">
        <v>88</v>
      </c>
      <c r="I63" t="s">
        <v>109</v>
      </c>
      <c r="J63" t="s">
        <v>90</v>
      </c>
    </row>
    <row r="64" spans="1:10" x14ac:dyDescent="0.2">
      <c r="A64" s="106">
        <v>43888</v>
      </c>
      <c r="B64">
        <v>1514133</v>
      </c>
      <c r="C64" t="s">
        <v>110</v>
      </c>
      <c r="D64" t="s">
        <v>119</v>
      </c>
      <c r="E64">
        <v>3416131.48</v>
      </c>
      <c r="F64">
        <v>1966031</v>
      </c>
      <c r="G64" t="s">
        <v>88</v>
      </c>
      <c r="I64" t="s">
        <v>109</v>
      </c>
      <c r="J64" t="s">
        <v>90</v>
      </c>
    </row>
    <row r="65" spans="1:10" x14ac:dyDescent="0.2">
      <c r="A65" s="106">
        <v>43950</v>
      </c>
      <c r="B65">
        <v>1523964</v>
      </c>
      <c r="C65" t="s">
        <v>113</v>
      </c>
      <c r="D65" t="s">
        <v>119</v>
      </c>
      <c r="E65">
        <v>959043.35</v>
      </c>
      <c r="F65">
        <v>1987270</v>
      </c>
      <c r="G65" t="s">
        <v>88</v>
      </c>
      <c r="I65" t="s">
        <v>112</v>
      </c>
      <c r="J65" t="s">
        <v>90</v>
      </c>
    </row>
    <row r="66" spans="1:10" x14ac:dyDescent="0.2">
      <c r="A66" s="106">
        <v>43909</v>
      </c>
      <c r="B66">
        <v>1518057</v>
      </c>
      <c r="C66" t="s">
        <v>110</v>
      </c>
      <c r="D66" t="s">
        <v>119</v>
      </c>
      <c r="E66">
        <v>1746592.58</v>
      </c>
      <c r="F66">
        <v>1975251</v>
      </c>
      <c r="G66" t="s">
        <v>88</v>
      </c>
      <c r="I66" t="s">
        <v>109</v>
      </c>
      <c r="J66" t="s">
        <v>90</v>
      </c>
    </row>
    <row r="67" spans="1:10" x14ac:dyDescent="0.2">
      <c r="A67" s="106">
        <v>43917</v>
      </c>
      <c r="B67">
        <v>1519601</v>
      </c>
      <c r="C67" t="s">
        <v>113</v>
      </c>
      <c r="D67" t="s">
        <v>119</v>
      </c>
      <c r="E67">
        <v>2877130.08</v>
      </c>
      <c r="F67">
        <v>1977863</v>
      </c>
      <c r="G67" t="s">
        <v>88</v>
      </c>
      <c r="I67" t="s">
        <v>112</v>
      </c>
      <c r="J67" t="s">
        <v>90</v>
      </c>
    </row>
    <row r="68" spans="1:10" x14ac:dyDescent="0.2">
      <c r="A68" s="106">
        <v>43909</v>
      </c>
      <c r="B68">
        <v>1518058</v>
      </c>
      <c r="C68" t="s">
        <v>108</v>
      </c>
      <c r="D68" t="s">
        <v>119</v>
      </c>
      <c r="E68">
        <v>30379628.579999998</v>
      </c>
      <c r="F68">
        <v>1975252</v>
      </c>
      <c r="G68" t="s">
        <v>88</v>
      </c>
      <c r="I68" t="s">
        <v>109</v>
      </c>
      <c r="J68" t="s">
        <v>90</v>
      </c>
    </row>
    <row r="69" spans="1:10" x14ac:dyDescent="0.2">
      <c r="A69" s="106">
        <v>43888</v>
      </c>
      <c r="B69">
        <v>1514137</v>
      </c>
      <c r="C69" t="s">
        <v>108</v>
      </c>
      <c r="D69" t="s">
        <v>119</v>
      </c>
      <c r="E69">
        <v>42832541.909999996</v>
      </c>
      <c r="F69">
        <v>1966045</v>
      </c>
      <c r="G69" t="s">
        <v>88</v>
      </c>
      <c r="I69" t="s">
        <v>109</v>
      </c>
      <c r="J69" t="s">
        <v>90</v>
      </c>
    </row>
    <row r="70" spans="1:10" x14ac:dyDescent="0.2">
      <c r="A70" s="106">
        <v>43979</v>
      </c>
      <c r="B70">
        <v>1528601</v>
      </c>
      <c r="C70" t="s">
        <v>113</v>
      </c>
      <c r="D70" t="s">
        <v>119</v>
      </c>
      <c r="E70">
        <v>959043.35</v>
      </c>
      <c r="F70">
        <v>1997250</v>
      </c>
      <c r="G70" t="s">
        <v>88</v>
      </c>
      <c r="I70" t="s">
        <v>112</v>
      </c>
      <c r="J7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092020</vt:lpstr>
      <vt:lpstr>RESUMEN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Carolina</cp:lastModifiedBy>
  <cp:lastPrinted>2020-07-14T14:12:22Z</cp:lastPrinted>
  <dcterms:created xsi:type="dcterms:W3CDTF">2011-02-09T11:40:07Z</dcterms:created>
  <dcterms:modified xsi:type="dcterms:W3CDTF">2020-10-29T14:01:23Z</dcterms:modified>
</cp:coreProperties>
</file>