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35" tabRatio="222"/>
  </bookViews>
  <sheets>
    <sheet name="junio 2021" sheetId="1" r:id="rId1"/>
  </sheets>
  <calcPr calcId="144525"/>
</workbook>
</file>

<file path=xl/calcChain.xml><?xml version="1.0" encoding="utf-8"?>
<calcChain xmlns="http://schemas.openxmlformats.org/spreadsheetml/2006/main">
  <c r="C50" i="1" l="1"/>
  <c r="I17" i="1" l="1"/>
  <c r="J16" i="1"/>
  <c r="I16" i="1"/>
  <c r="I31" i="1"/>
  <c r="J29" i="1"/>
  <c r="I29" i="1"/>
  <c r="J28" i="1"/>
  <c r="I24" i="1"/>
  <c r="J22" i="1"/>
  <c r="I22" i="1"/>
  <c r="I21" i="1"/>
  <c r="I20" i="1"/>
  <c r="G18" i="1"/>
  <c r="G15" i="1"/>
  <c r="I15" i="1" s="1"/>
  <c r="G14" i="1"/>
  <c r="I14" i="1" s="1"/>
  <c r="G30" i="1"/>
  <c r="I30" i="1" s="1"/>
  <c r="G28" i="1"/>
  <c r="I28" i="1" s="1"/>
  <c r="G27" i="1"/>
  <c r="G26" i="1"/>
  <c r="I26" i="1" s="1"/>
  <c r="G25" i="1"/>
  <c r="I25" i="1" s="1"/>
  <c r="G24" i="1"/>
  <c r="G23" i="1"/>
  <c r="I23" i="1" s="1"/>
  <c r="G11" i="1"/>
  <c r="G10" i="1"/>
  <c r="E10" i="1" s="1"/>
  <c r="H18" i="1"/>
  <c r="H17" i="1"/>
  <c r="J17" i="1" s="1"/>
  <c r="H15" i="1"/>
  <c r="J15" i="1" s="1"/>
  <c r="H14" i="1"/>
  <c r="J14" i="1" s="1"/>
  <c r="H28" i="1"/>
  <c r="H26" i="1"/>
  <c r="J26" i="1" s="1"/>
  <c r="H24" i="1"/>
  <c r="J24" i="1" s="1"/>
  <c r="H21" i="1"/>
  <c r="J21" i="1" s="1"/>
  <c r="H20" i="1"/>
  <c r="J20" i="1" s="1"/>
  <c r="H25" i="1"/>
  <c r="J25" i="1" s="1"/>
  <c r="H30" i="1"/>
  <c r="J30" i="1" s="1"/>
  <c r="H23" i="1"/>
  <c r="J23" i="1" s="1"/>
  <c r="H31" i="1"/>
  <c r="J31" i="1" s="1"/>
  <c r="H11" i="1"/>
  <c r="H10" i="1"/>
  <c r="I27" i="1" l="1"/>
  <c r="J18" i="1"/>
  <c r="I18" i="1"/>
  <c r="J10" i="1"/>
  <c r="J11" i="1"/>
  <c r="I11" i="1"/>
  <c r="I10" i="1"/>
  <c r="H27" i="1"/>
  <c r="J27" i="1" s="1"/>
  <c r="E13" i="1"/>
  <c r="E11" i="1" l="1"/>
  <c r="I12" i="1" l="1"/>
  <c r="E19" i="1"/>
  <c r="E41" i="1"/>
  <c r="J35" i="1"/>
  <c r="J34" i="1" s="1"/>
  <c r="I35" i="1"/>
  <c r="I34" i="1" s="1"/>
  <c r="H35" i="1"/>
  <c r="H34" i="1" s="1"/>
  <c r="G35" i="1"/>
  <c r="G34" i="1" s="1"/>
  <c r="F35" i="1"/>
  <c r="F34" i="1" s="1"/>
  <c r="D35" i="1"/>
  <c r="D34" i="1" s="1"/>
  <c r="E32" i="1"/>
  <c r="D32" i="1"/>
  <c r="J19" i="1"/>
  <c r="I19" i="1"/>
  <c r="H19" i="1"/>
  <c r="G19" i="1"/>
  <c r="F19" i="1"/>
  <c r="E18" i="1"/>
  <c r="E17" i="1"/>
  <c r="E16" i="1"/>
  <c r="E15" i="1"/>
  <c r="E14" i="1"/>
  <c r="G12" i="1"/>
  <c r="F12" i="1"/>
  <c r="E9" i="1"/>
  <c r="J9" i="1"/>
  <c r="H9" i="1"/>
  <c r="G9" i="1"/>
  <c r="F9" i="1"/>
  <c r="E35" i="1" l="1"/>
  <c r="E34" i="1" s="1"/>
  <c r="E12" i="1"/>
  <c r="F8" i="1"/>
  <c r="F45" i="1" s="1"/>
  <c r="G8" i="1"/>
  <c r="G45" i="1" s="1"/>
  <c r="I9" i="1"/>
  <c r="E8" i="1"/>
  <c r="I8" i="1"/>
  <c r="I45" i="1" s="1"/>
  <c r="D19" i="1"/>
  <c r="D45" i="1" s="1"/>
  <c r="E45" i="1" l="1"/>
  <c r="J12" i="1"/>
  <c r="J8" i="1" s="1"/>
  <c r="J45" i="1" s="1"/>
  <c r="J46" i="1" s="1"/>
  <c r="H12" i="1"/>
  <c r="H8" i="1" s="1"/>
  <c r="H45" i="1" s="1"/>
  <c r="H46" i="1" l="1"/>
</calcChain>
</file>

<file path=xl/sharedStrings.xml><?xml version="1.0" encoding="utf-8"?>
<sst xmlns="http://schemas.openxmlformats.org/spreadsheetml/2006/main" count="110" uniqueCount="81">
  <si>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</si>
  <si>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</si>
  <si>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</si>
  <si>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</si>
  <si>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</si>
  <si>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</si>
  <si>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</si>
  <si>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</si>
  <si>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</si>
  <si>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pesos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</si>
  <si>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</si>
  <si>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</si>
  <si>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</si>
  <si>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</si>
  <si>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</si>
  <si>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</si>
  <si>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</si>
  <si>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</si>
  <si>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</si>
  <si>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</si>
  <si>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</si>
  <si>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</si>
  <si>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</si>
  <si>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</si>
  <si>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</si>
  <si>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</si>
  <si>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</si>
  <si>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</si>
  <si>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</si>
  <si>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</si>
  <si>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</si>
  <si>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</si>
  <si>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</si>
  <si>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</si>
  <si>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</si>
  <si>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</si>
  <si>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</si>
  <si>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</si>
  <si>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</si>
  <si>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</si>
  <si>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</si>
  <si>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</si>
  <si>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</si>
  <si>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</si>
  <si>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</si>
  <si>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</si>
  <si>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</si>
  <si>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</si>
  <si>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</si>
  <si>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</si>
  <si>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</si>
  <si>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</si>
  <si>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</si>
  <si>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</si>
  <si>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</si>
  <si>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</si>
  <si>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</si>
  <si>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</si>
  <si>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</si>
  <si>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</si>
  <si>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</si>
  <si>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</si>
  <si>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</si>
  <si>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</si>
  <si>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</si>
  <si>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</si>
  <si>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</si>
  <si>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</si>
  <si>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</si>
  <si>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</si>
  <si>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</si>
  <si>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</si>
  <si>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</si>
  <si>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</si>
  <si>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</si>
  <si>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</si>
  <si>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</si>
  <si>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según expediente Nº 704-000054-21.-</t>
    </r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</si>
  <si>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$95,72 (c</t>
    </r>
    <r>
      <rPr>
        <i/>
        <sz val="10"/>
        <rFont val="Arial"/>
        <family val="2"/>
      </rPr>
      <t>otización del dólar al  30/06/2021)</t>
    </r>
  </si>
  <si>
    <t>JUNIO 2021</t>
  </si>
  <si>
    <t>Deuda Flotante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</si>
</sst>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$_-;\-* #,##0.00\ _$_-;_-* &quot;-&quot;??\ _$_-;_-@_-"/>
    <numFmt numFmtId="165" formatCode="_-* #,##0.00\ [$USD]_-;\-* #,##0.00\ [$USD]_-;_-* &quot;-&quot;??\ [$USD]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</cellStyleXfs>
  <cellXfs count="140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5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6" fontId="7" fillId="5" borderId="16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/>
    <xf numFmtId="166" fontId="7" fillId="0" borderId="14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8" fontId="7" fillId="0" borderId="17" xfId="1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6" borderId="8" xfId="1" applyNumberFormat="1" applyFont="1" applyFill="1" applyBorder="1" applyAlignment="1" applyProtection="1">
      <alignment horizontal="center" vertical="center"/>
    </xf>
    <xf numFmtId="168" fontId="0" fillId="6" borderId="8" xfId="1" applyNumberFormat="1" applyFont="1" applyFill="1" applyBorder="1" applyAlignment="1" applyProtection="1">
      <alignment horizontal="center" vertical="center"/>
    </xf>
    <xf numFmtId="168" fontId="13" fillId="7" borderId="8" xfId="3" applyNumberFormat="1" applyFont="1" applyFill="1" applyBorder="1" applyAlignment="1" applyProtection="1"/>
    <xf numFmtId="168" fontId="13" fillId="7" borderId="7" xfId="3" applyNumberFormat="1" applyFont="1" applyFill="1" applyBorder="1" applyAlignment="1" applyProtection="1">
      <alignment horizontal="center" vertical="center"/>
    </xf>
    <xf numFmtId="168" fontId="0" fillId="7" borderId="7" xfId="1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5" borderId="20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11" fillId="0" borderId="0" xfId="1" applyNumberFormat="1" applyFont="1" applyAlignment="1">
      <alignment vertical="center"/>
    </xf>
    <xf numFmtId="0" fontId="0" fillId="6" borderId="7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>
      <alignment horizontal="center"/>
    </xf>
    <xf numFmtId="168" fontId="0" fillId="0" borderId="7" xfId="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/>
    <xf numFmtId="166" fontId="7" fillId="0" borderId="20" xfId="0" applyNumberFormat="1" applyFont="1" applyFill="1" applyBorder="1" applyAlignment="1">
      <alignment vertical="center"/>
    </xf>
    <xf numFmtId="168" fontId="7" fillId="0" borderId="19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68" fontId="0" fillId="0" borderId="8" xfId="1" applyNumberFormat="1" applyFont="1" applyFill="1" applyBorder="1" applyAlignment="1" applyProtection="1">
      <alignment horizontal="center" vertical="center"/>
    </xf>
    <xf numFmtId="169" fontId="0" fillId="0" borderId="7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8" fontId="12" fillId="7" borderId="7" xfId="3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4" applyFont="1" applyFill="1" applyBorder="1" applyAlignment="1">
      <alignment horizontal="left"/>
    </xf>
    <xf numFmtId="0" fontId="15" fillId="0" borderId="7" xfId="4" applyFont="1" applyFill="1" applyBorder="1" applyAlignment="1">
      <alignment horizontal="center"/>
    </xf>
    <xf numFmtId="168" fontId="15" fillId="0" borderId="8" xfId="4" applyNumberFormat="1" applyFont="1" applyFill="1" applyBorder="1" applyAlignment="1" applyProtection="1">
      <alignment horizontal="center" vertical="center"/>
    </xf>
    <xf numFmtId="168" fontId="15" fillId="0" borderId="8" xfId="4" applyNumberFormat="1" applyFont="1" applyFill="1" applyBorder="1" applyAlignment="1" applyProtection="1"/>
    <xf numFmtId="168" fontId="15" fillId="0" borderId="7" xfId="4" applyNumberFormat="1" applyFont="1" applyFill="1" applyBorder="1" applyAlignment="1" applyProtection="1">
      <alignment horizontal="center" vertical="center"/>
    </xf>
    <xf numFmtId="0" fontId="15" fillId="0" borderId="0" xfId="4" applyFont="1" applyFill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7" fillId="0" borderId="23" xfId="1" applyNumberFormat="1" applyFont="1" applyFill="1" applyBorder="1" applyAlignment="1" applyProtection="1">
      <alignment horizontal="center" vertical="center"/>
    </xf>
    <xf numFmtId="168" fontId="7" fillId="0" borderId="23" xfId="1" applyNumberFormat="1" applyFont="1" applyFill="1" applyBorder="1" applyAlignment="1" applyProtection="1"/>
    <xf numFmtId="167" fontId="0" fillId="0" borderId="22" xfId="1" applyNumberFormat="1" applyFont="1" applyFill="1" applyBorder="1" applyAlignment="1" applyProtection="1">
      <alignment horizontal="center" vertical="center"/>
    </xf>
    <xf numFmtId="168" fontId="0" fillId="0" borderId="22" xfId="1" applyNumberFormat="1" applyFont="1" applyFill="1" applyBorder="1" applyAlignment="1" applyProtection="1">
      <alignment horizontal="center" vertical="center"/>
    </xf>
    <xf numFmtId="167" fontId="0" fillId="0" borderId="23" xfId="1" applyNumberFormat="1" applyFont="1" applyFill="1" applyBorder="1" applyAlignment="1" applyProtection="1">
      <alignment horizontal="center" vertical="center"/>
    </xf>
    <xf numFmtId="168" fontId="16" fillId="0" borderId="22" xfId="1" applyNumberFormat="1" applyFont="1" applyFill="1" applyBorder="1" applyAlignment="1" applyProtection="1">
      <alignment horizontal="center" vertical="center"/>
    </xf>
    <xf numFmtId="168" fontId="7" fillId="0" borderId="25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right"/>
    </xf>
    <xf numFmtId="0" fontId="0" fillId="0" borderId="26" xfId="0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8" fontId="0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6" fillId="0" borderId="0" xfId="1" applyNumberFormat="1" applyFont="1" applyFill="1" applyBorder="1" applyAlignment="1" applyProtection="1">
      <alignment horizontal="center" vertical="center"/>
    </xf>
    <xf numFmtId="168" fontId="0" fillId="0" borderId="0" xfId="1" applyNumberFormat="1" applyFont="1" applyFill="1" applyBorder="1" applyAlignment="1" applyProtection="1">
      <alignment horizontal="center" vertical="center"/>
    </xf>
    <xf numFmtId="167" fontId="11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1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/>
    </xf>
    <xf numFmtId="0" fontId="7" fillId="6" borderId="28" xfId="0" applyFont="1" applyFill="1" applyBorder="1"/>
    <xf numFmtId="0" fontId="7" fillId="6" borderId="28" xfId="0" applyFont="1" applyFill="1" applyBorder="1" applyAlignment="1">
      <alignment horizontal="center"/>
    </xf>
    <xf numFmtId="168" fontId="7" fillId="6" borderId="29" xfId="0" applyNumberFormat="1" applyFont="1" applyFill="1" applyBorder="1"/>
    <xf numFmtId="0" fontId="0" fillId="6" borderId="28" xfId="0" applyFont="1" applyFill="1" applyBorder="1" applyAlignment="1">
      <alignment wrapText="1"/>
    </xf>
    <xf numFmtId="0" fontId="0" fillId="6" borderId="28" xfId="0" applyFont="1" applyFill="1" applyBorder="1" applyAlignment="1">
      <alignment horizontal="center" wrapText="1"/>
    </xf>
    <xf numFmtId="168" fontId="0" fillId="6" borderId="29" xfId="1" applyNumberFormat="1" applyFont="1" applyFill="1" applyBorder="1" applyAlignment="1" applyProtection="1"/>
    <xf numFmtId="0" fontId="0" fillId="6" borderId="28" xfId="0" applyFont="1" applyFill="1" applyBorder="1"/>
    <xf numFmtId="0" fontId="0" fillId="6" borderId="28" xfId="0" applyFont="1" applyFill="1" applyBorder="1" applyAlignment="1">
      <alignment horizontal="center"/>
    </xf>
    <xf numFmtId="0" fontId="0" fillId="6" borderId="30" xfId="0" applyFont="1" applyFill="1" applyBorder="1"/>
    <xf numFmtId="0" fontId="0" fillId="6" borderId="30" xfId="0" applyFont="1" applyFill="1" applyBorder="1" applyAlignment="1">
      <alignment horizontal="center"/>
    </xf>
    <xf numFmtId="168" fontId="0" fillId="6" borderId="30" xfId="1" applyNumberFormat="1" applyFont="1" applyFill="1" applyBorder="1" applyAlignment="1" applyProtection="1"/>
    <xf numFmtId="0" fontId="7" fillId="0" borderId="33" xfId="0" applyFont="1" applyBorder="1" applyAlignment="1">
      <alignment horizontal="center"/>
    </xf>
    <xf numFmtId="167" fontId="7" fillId="0" borderId="32" xfId="0" applyNumberFormat="1" applyFont="1" applyBorder="1"/>
    <xf numFmtId="3" fontId="7" fillId="0" borderId="34" xfId="0" applyNumberFormat="1" applyFont="1" applyBorder="1"/>
    <xf numFmtId="0" fontId="0" fillId="0" borderId="8" xfId="0" applyFont="1" applyBorder="1"/>
    <xf numFmtId="0" fontId="6" fillId="0" borderId="0" xfId="0" applyFont="1" applyFill="1" applyBorder="1" applyAlignment="1">
      <alignment horizontal="center"/>
    </xf>
    <xf numFmtId="0" fontId="17" fillId="6" borderId="9" xfId="2" applyFont="1" applyFill="1" applyBorder="1" applyAlignment="1">
      <alignment horizontal="center"/>
    </xf>
    <xf numFmtId="0" fontId="17" fillId="6" borderId="4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</cellXfs>
  <cellStyles count="6">
    <cellStyle name="Buena" xfId="3" builtinId="26"/>
    <cellStyle name="Entrada" xfId="5" builtinId="20"/>
    <cellStyle name="Incorrecto" xfId="4" builtinId="27"/>
    <cellStyle name="Millares" xfId="1" builtinId="3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tabSelected="1" workbookViewId="0"/>
  </sheetViews>
  <sheetFormatPr baseColWidth="10" defaultRowHeight="15" x14ac:dyDescent="0.25"/>
  <cols>
    <col min="1" max="1" width="91.85546875" style="4" customWidth="1"/>
    <col min="2" max="2" width="15.140625" style="104" bestFit="1" customWidth="1"/>
    <col min="3" max="3" width="15" style="4" bestFit="1" customWidth="1"/>
    <col min="4" max="4" width="18.85546875" style="105" hidden="1" customWidth="1"/>
    <col min="5" max="5" width="18.85546875" style="105" bestFit="1" customWidth="1"/>
    <col min="6" max="7" width="15.7109375" style="4" bestFit="1" customWidth="1"/>
    <col min="8" max="8" width="16.5703125" style="4" bestFit="1" customWidth="1"/>
    <col min="9" max="9" width="14.28515625" style="4" bestFit="1" customWidth="1"/>
    <col min="10" max="10" width="16.5703125" style="4" customWidth="1"/>
    <col min="11" max="11" width="17.140625" style="4" bestFit="1" customWidth="1"/>
    <col min="12" max="12" width="11.42578125" style="4"/>
    <col min="13" max="13" width="19.42578125" style="4" bestFit="1" customWidth="1"/>
    <col min="14" max="16384" width="11.42578125" style="4"/>
  </cols>
  <sheetData>
    <row r="1" spans="1:11" ht="15.75" x14ac:dyDescent="0.25">
      <c r="A1" s="1" t="s">
        <v>0</v>
      </c>
      <c r="B1" s="122"/>
      <c r="C1" s="1"/>
      <c r="D1" s="3"/>
      <c r="E1" s="3"/>
    </row>
    <row r="2" spans="1:11" ht="15.75" x14ac:dyDescent="0.25">
      <c r="A2" s="1" t="s">
        <v>2</v>
      </c>
      <c r="B2" s="2"/>
      <c r="C2" s="1"/>
      <c r="D2" s="3"/>
      <c r="E2" s="3"/>
    </row>
    <row r="3" spans="1:11" ht="16.5" thickBot="1" x14ac:dyDescent="0.3">
      <c r="A3" s="1"/>
      <c r="B3" s="2"/>
      <c r="C3" s="1"/>
      <c r="D3" s="3"/>
      <c r="E3" s="3"/>
    </row>
    <row r="4" spans="1:11" ht="16.5" thickBot="1" x14ac:dyDescent="0.3">
      <c r="A4" s="1" t="s">
        <v>3</v>
      </c>
      <c r="B4" s="2"/>
      <c r="C4" s="1"/>
      <c r="D4" s="3"/>
      <c r="E4" s="3"/>
      <c r="F4" s="134" t="s">
        <v>79</v>
      </c>
      <c r="G4" s="135"/>
      <c r="H4" s="135"/>
      <c r="I4" s="135"/>
      <c r="J4" s="136"/>
    </row>
    <row r="5" spans="1:11" ht="16.5" thickBot="1" x14ac:dyDescent="0.3">
      <c r="A5" s="126" t="s">
        <v>4</v>
      </c>
      <c r="B5" s="5" t="s">
        <v>5</v>
      </c>
      <c r="C5" s="6" t="s">
        <v>6</v>
      </c>
      <c r="D5" s="7" t="s">
        <v>7</v>
      </c>
      <c r="E5" s="8" t="s">
        <v>7</v>
      </c>
      <c r="F5" s="137"/>
      <c r="G5" s="138"/>
      <c r="H5" s="138"/>
      <c r="I5" s="138"/>
      <c r="J5" s="139"/>
    </row>
    <row r="6" spans="1:11" ht="16.5" thickBot="1" x14ac:dyDescent="0.3">
      <c r="A6" s="127"/>
      <c r="B6" s="9" t="s">
        <v>8</v>
      </c>
      <c r="C6" s="10"/>
      <c r="D6" s="11" t="s">
        <v>9</v>
      </c>
      <c r="E6" s="12"/>
      <c r="F6" s="129" t="s">
        <v>10</v>
      </c>
      <c r="G6" s="131" t="s">
        <v>11</v>
      </c>
      <c r="H6" s="132"/>
      <c r="I6" s="132" t="s">
        <v>12</v>
      </c>
      <c r="J6" s="133"/>
    </row>
    <row r="7" spans="1:11" ht="24" thickBot="1" x14ac:dyDescent="0.3">
      <c r="A7" s="128"/>
      <c r="B7" s="13" t="s">
        <v>13</v>
      </c>
      <c r="C7" s="14" t="s">
        <v>14</v>
      </c>
      <c r="D7" s="15">
        <v>44196</v>
      </c>
      <c r="E7" s="16">
        <v>44377</v>
      </c>
      <c r="F7" s="130"/>
      <c r="G7" s="17" t="s">
        <v>15</v>
      </c>
      <c r="H7" s="17" t="s">
        <v>16</v>
      </c>
      <c r="I7" s="18" t="s">
        <v>15</v>
      </c>
      <c r="J7" s="17" t="s">
        <v>16</v>
      </c>
    </row>
    <row r="8" spans="1:11" ht="15.75" thickBot="1" x14ac:dyDescent="0.3">
      <c r="A8" s="19" t="s">
        <v>17</v>
      </c>
      <c r="B8" s="20"/>
      <c r="C8" s="21"/>
      <c r="D8" s="22">
        <v>8027765.0651799999</v>
      </c>
      <c r="E8" s="23">
        <f>+E9+E12</f>
        <v>7177402.5542799998</v>
      </c>
      <c r="F8" s="24">
        <f>+F9+F12</f>
        <v>0</v>
      </c>
      <c r="G8" s="24">
        <f t="shared" ref="G8:J8" si="0">+G9+G12</f>
        <v>850362.51089999999</v>
      </c>
      <c r="H8" s="24">
        <f t="shared" si="0"/>
        <v>256323.38147999998</v>
      </c>
      <c r="I8" s="24">
        <f t="shared" si="0"/>
        <v>850362.51089999999</v>
      </c>
      <c r="J8" s="25">
        <f t="shared" si="0"/>
        <v>256323.38147999998</v>
      </c>
    </row>
    <row r="9" spans="1:11" ht="15.75" thickTop="1" x14ac:dyDescent="0.25">
      <c r="A9" s="26" t="s">
        <v>18</v>
      </c>
      <c r="B9" s="27"/>
      <c r="C9" s="27"/>
      <c r="D9" s="28">
        <v>2460692.6186800003</v>
      </c>
      <c r="E9" s="28">
        <f>+E10+E11</f>
        <v>2023394.54733</v>
      </c>
      <c r="F9" s="28">
        <f>+F10+F11</f>
        <v>0</v>
      </c>
      <c r="G9" s="28">
        <f t="shared" ref="G9:J9" si="1">+G10+G11</f>
        <v>437298.07134999998</v>
      </c>
      <c r="H9" s="28">
        <f t="shared" si="1"/>
        <v>23394.673909999998</v>
      </c>
      <c r="I9" s="28">
        <f t="shared" si="1"/>
        <v>437298.07134999998</v>
      </c>
      <c r="J9" s="28">
        <f t="shared" si="1"/>
        <v>23394.673909999998</v>
      </c>
    </row>
    <row r="10" spans="1:11" x14ac:dyDescent="0.25">
      <c r="A10" s="29" t="s">
        <v>19</v>
      </c>
      <c r="B10" s="30" t="s">
        <v>20</v>
      </c>
      <c r="C10" s="31" t="s">
        <v>21</v>
      </c>
      <c r="D10" s="33">
        <v>1674593</v>
      </c>
      <c r="E10" s="33">
        <f>+D10+F10-G10</f>
        <v>1276117.11931</v>
      </c>
      <c r="F10" s="34"/>
      <c r="G10" s="35">
        <f>398475880.69/1000</f>
        <v>398475.88069000002</v>
      </c>
      <c r="H10" s="36">
        <f>1099787.83/1000</f>
        <v>1099.78783</v>
      </c>
      <c r="I10" s="35">
        <f>+G10</f>
        <v>398475.88069000002</v>
      </c>
      <c r="J10" s="35">
        <f>+H10</f>
        <v>1099.78783</v>
      </c>
    </row>
    <row r="11" spans="1:11" x14ac:dyDescent="0.25">
      <c r="A11" s="29" t="s">
        <v>22</v>
      </c>
      <c r="B11" s="30" t="s">
        <v>23</v>
      </c>
      <c r="C11" s="31" t="s">
        <v>21</v>
      </c>
      <c r="D11" s="33">
        <v>786099.61868000007</v>
      </c>
      <c r="E11" s="33">
        <f>+D11+F11-G11</f>
        <v>747277.42802000011</v>
      </c>
      <c r="F11" s="34"/>
      <c r="G11" s="35">
        <f>38822190.66/1000</f>
        <v>38822.190659999993</v>
      </c>
      <c r="H11" s="35">
        <f>22294886.08/1000</f>
        <v>22294.886079999997</v>
      </c>
      <c r="I11" s="35">
        <f>+G11</f>
        <v>38822.190659999993</v>
      </c>
      <c r="J11" s="35">
        <f>+H11</f>
        <v>22294.886079999997</v>
      </c>
    </row>
    <row r="12" spans="1:11" x14ac:dyDescent="0.25">
      <c r="A12" s="37" t="s">
        <v>24</v>
      </c>
      <c r="B12" s="38"/>
      <c r="C12" s="39"/>
      <c r="D12" s="40">
        <v>5567072.4464999996</v>
      </c>
      <c r="E12" s="40">
        <f>SUM(E13:E18)</f>
        <v>5154008.0069500003</v>
      </c>
      <c r="F12" s="41">
        <f>SUM(F13:F18)</f>
        <v>0</v>
      </c>
      <c r="G12" s="41">
        <f t="shared" ref="G12:J12" si="2">SUM(G13:G18)</f>
        <v>413064.43955000001</v>
      </c>
      <c r="H12" s="41">
        <f t="shared" si="2"/>
        <v>232928.70757</v>
      </c>
      <c r="I12" s="41">
        <f t="shared" si="2"/>
        <v>413064.43955000001</v>
      </c>
      <c r="J12" s="41">
        <f t="shared" si="2"/>
        <v>232928.70757</v>
      </c>
      <c r="K12" s="106"/>
    </row>
    <row r="13" spans="1:11" x14ac:dyDescent="0.25">
      <c r="A13" s="29" t="s">
        <v>25</v>
      </c>
      <c r="B13" s="30"/>
      <c r="C13" s="31" t="s">
        <v>21</v>
      </c>
      <c r="D13" s="33">
        <v>10766</v>
      </c>
      <c r="E13" s="33">
        <f>+D13+F13-G13</f>
        <v>10766</v>
      </c>
      <c r="F13" s="34"/>
      <c r="G13" s="35"/>
      <c r="H13" s="36"/>
      <c r="I13" s="35"/>
      <c r="J13" s="35"/>
    </row>
    <row r="14" spans="1:11" x14ac:dyDescent="0.25">
      <c r="A14" s="29" t="s">
        <v>26</v>
      </c>
      <c r="B14" s="30" t="s">
        <v>27</v>
      </c>
      <c r="C14" s="31" t="s">
        <v>21</v>
      </c>
      <c r="D14" s="33">
        <v>35737.610719999997</v>
      </c>
      <c r="E14" s="33">
        <f t="shared" ref="E14:E18" si="3">+D14+F14-G14</f>
        <v>23110.360839999994</v>
      </c>
      <c r="F14" s="34"/>
      <c r="G14" s="35">
        <f>12627249.88/1000</f>
        <v>12627.249880000001</v>
      </c>
      <c r="H14" s="36">
        <f>2578012.46/1000</f>
        <v>2578.0124599999999</v>
      </c>
      <c r="I14" s="35">
        <f t="shared" ref="I14:I17" si="4">+G14</f>
        <v>12627.249880000001</v>
      </c>
      <c r="J14" s="35">
        <f t="shared" ref="J14:J17" si="5">+H14</f>
        <v>2578.0124599999999</v>
      </c>
    </row>
    <row r="15" spans="1:11" x14ac:dyDescent="0.25">
      <c r="A15" s="29" t="s">
        <v>28</v>
      </c>
      <c r="B15" s="30" t="s">
        <v>29</v>
      </c>
      <c r="C15" s="31" t="s">
        <v>21</v>
      </c>
      <c r="D15" s="33">
        <v>91521.566460000002</v>
      </c>
      <c r="E15" s="33">
        <f t="shared" si="3"/>
        <v>90562.523100000006</v>
      </c>
      <c r="F15" s="34"/>
      <c r="G15" s="35">
        <f>959043.36/1000</f>
        <v>959.04336000000001</v>
      </c>
      <c r="H15" s="36">
        <f>449620.54/1000</f>
        <v>449.62054000000001</v>
      </c>
      <c r="I15" s="35">
        <f t="shared" si="4"/>
        <v>959.04336000000001</v>
      </c>
      <c r="J15" s="35">
        <f t="shared" si="5"/>
        <v>449.62054000000001</v>
      </c>
    </row>
    <row r="16" spans="1:11" x14ac:dyDescent="0.25">
      <c r="A16" s="29" t="s">
        <v>30</v>
      </c>
      <c r="B16" s="30" t="s">
        <v>31</v>
      </c>
      <c r="C16" s="31" t="s">
        <v>21</v>
      </c>
      <c r="D16" s="33">
        <v>112.15111999999999</v>
      </c>
      <c r="E16" s="33">
        <f t="shared" si="3"/>
        <v>112.15111999999999</v>
      </c>
      <c r="F16" s="34"/>
      <c r="G16" s="36"/>
      <c r="H16" s="36"/>
      <c r="I16" s="35">
        <f t="shared" si="4"/>
        <v>0</v>
      </c>
      <c r="J16" s="35">
        <f t="shared" si="5"/>
        <v>0</v>
      </c>
    </row>
    <row r="17" spans="1:13" x14ac:dyDescent="0.25">
      <c r="A17" s="29" t="s">
        <v>32</v>
      </c>
      <c r="B17" s="30" t="s">
        <v>33</v>
      </c>
      <c r="C17" s="31" t="s">
        <v>21</v>
      </c>
      <c r="D17" s="33">
        <v>3913244</v>
      </c>
      <c r="E17" s="33">
        <f t="shared" si="3"/>
        <v>3913244</v>
      </c>
      <c r="F17" s="34"/>
      <c r="G17" s="35"/>
      <c r="H17" s="36">
        <f>143500764.81/1000</f>
        <v>143500.76480999999</v>
      </c>
      <c r="I17" s="35">
        <f t="shared" si="4"/>
        <v>0</v>
      </c>
      <c r="J17" s="35">
        <f t="shared" si="5"/>
        <v>143500.76480999999</v>
      </c>
    </row>
    <row r="18" spans="1:13" x14ac:dyDescent="0.25">
      <c r="A18" s="29" t="s">
        <v>34</v>
      </c>
      <c r="B18" s="30" t="s">
        <v>35</v>
      </c>
      <c r="C18" s="31" t="s">
        <v>21</v>
      </c>
      <c r="D18" s="33">
        <v>1515691.1181999999</v>
      </c>
      <c r="E18" s="33">
        <f t="shared" si="3"/>
        <v>1116212.9718899999</v>
      </c>
      <c r="F18" s="34"/>
      <c r="G18" s="35">
        <f>399478146.31/1000</f>
        <v>399478.14630999998</v>
      </c>
      <c r="H18" s="36">
        <f>86400309.76/1000</f>
        <v>86400.309760000004</v>
      </c>
      <c r="I18" s="35">
        <f>+G18</f>
        <v>399478.14630999998</v>
      </c>
      <c r="J18" s="35">
        <f>+H18</f>
        <v>86400.309760000004</v>
      </c>
    </row>
    <row r="19" spans="1:13" s="47" customFormat="1" ht="21" customHeight="1" thickBot="1" x14ac:dyDescent="0.3">
      <c r="A19" s="42" t="s">
        <v>36</v>
      </c>
      <c r="B19" s="43"/>
      <c r="C19" s="42"/>
      <c r="D19" s="45">
        <f>SUM(D20:D31)</f>
        <v>0</v>
      </c>
      <c r="E19" s="46">
        <f>SUM(E20:E31)</f>
        <v>14777979.010049243</v>
      </c>
      <c r="F19" s="46">
        <f t="shared" ref="F19:J19" si="6">SUM(F20:F31)</f>
        <v>717157</v>
      </c>
      <c r="G19" s="46">
        <f t="shared" si="6"/>
        <v>390424.85100999998</v>
      </c>
      <c r="H19" s="46">
        <f>SUM(H20:H31)</f>
        <v>156303.87703999999</v>
      </c>
      <c r="I19" s="46">
        <f t="shared" si="6"/>
        <v>390424.85100999998</v>
      </c>
      <c r="J19" s="46">
        <f t="shared" si="6"/>
        <v>156303.87703999999</v>
      </c>
      <c r="M19" s="48"/>
    </row>
    <row r="20" spans="1:13" ht="15.75" thickTop="1" x14ac:dyDescent="0.25">
      <c r="A20" s="29" t="s">
        <v>37</v>
      </c>
      <c r="B20" s="49"/>
      <c r="C20" s="31" t="s">
        <v>1</v>
      </c>
      <c r="D20" s="33"/>
      <c r="E20" s="50">
        <v>954644.82351839996</v>
      </c>
      <c r="F20" s="50">
        <v>439186</v>
      </c>
      <c r="G20" s="51"/>
      <c r="H20" s="35">
        <f>9830658.35/1000</f>
        <v>9830.6583499999997</v>
      </c>
      <c r="I20" s="35">
        <f t="shared" ref="I20:I26" si="7">+G20</f>
        <v>0</v>
      </c>
      <c r="J20" s="35">
        <f t="shared" ref="J20:J26" si="8">+H20</f>
        <v>9830.6583499999997</v>
      </c>
    </row>
    <row r="21" spans="1:13" x14ac:dyDescent="0.25">
      <c r="A21" s="29" t="s">
        <v>38</v>
      </c>
      <c r="B21" s="30">
        <v>49522</v>
      </c>
      <c r="C21" s="31" t="s">
        <v>1</v>
      </c>
      <c r="D21" s="33"/>
      <c r="E21" s="34">
        <v>2190451.7898444175</v>
      </c>
      <c r="F21" s="34">
        <v>183278</v>
      </c>
      <c r="G21" s="35"/>
      <c r="H21" s="35">
        <f>45260275.2/1000</f>
        <v>45260.275200000004</v>
      </c>
      <c r="I21" s="35">
        <f t="shared" si="7"/>
        <v>0</v>
      </c>
      <c r="J21" s="35">
        <f t="shared" si="8"/>
        <v>45260.275200000004</v>
      </c>
    </row>
    <row r="22" spans="1:13" x14ac:dyDescent="0.25">
      <c r="A22" s="29" t="s">
        <v>39</v>
      </c>
      <c r="B22" s="30" t="s">
        <v>40</v>
      </c>
      <c r="C22" s="31" t="s">
        <v>1</v>
      </c>
      <c r="D22" s="33"/>
      <c r="E22" s="34">
        <v>69390.299599999998</v>
      </c>
      <c r="F22" s="34"/>
      <c r="G22" s="35"/>
      <c r="H22" s="35"/>
      <c r="I22" s="35">
        <f t="shared" si="7"/>
        <v>0</v>
      </c>
      <c r="J22" s="35">
        <f t="shared" si="8"/>
        <v>0</v>
      </c>
    </row>
    <row r="23" spans="1:13" x14ac:dyDescent="0.25">
      <c r="A23" s="29" t="s">
        <v>41</v>
      </c>
      <c r="B23" s="30" t="s">
        <v>42</v>
      </c>
      <c r="C23" s="31" t="s">
        <v>1</v>
      </c>
      <c r="D23" s="33"/>
      <c r="E23" s="34">
        <v>269603.36304799997</v>
      </c>
      <c r="F23" s="34"/>
      <c r="G23" s="35">
        <f>10224781.69/1000</f>
        <v>10224.78169</v>
      </c>
      <c r="H23" s="35">
        <f>5281996.22/1000</f>
        <v>5281.99622</v>
      </c>
      <c r="I23" s="35">
        <f t="shared" si="7"/>
        <v>10224.78169</v>
      </c>
      <c r="J23" s="35">
        <f t="shared" si="8"/>
        <v>5281.99622</v>
      </c>
    </row>
    <row r="24" spans="1:13" x14ac:dyDescent="0.25">
      <c r="A24" s="29" t="s">
        <v>43</v>
      </c>
      <c r="B24" s="30" t="s">
        <v>44</v>
      </c>
      <c r="C24" s="31" t="s">
        <v>1</v>
      </c>
      <c r="D24" s="33"/>
      <c r="E24" s="34">
        <v>37487.7808</v>
      </c>
      <c r="F24" s="34"/>
      <c r="G24" s="35">
        <f>2222880/1000</f>
        <v>2222.88</v>
      </c>
      <c r="H24" s="35">
        <f>94527.97/1000</f>
        <v>94.527969999999996</v>
      </c>
      <c r="I24" s="35">
        <f t="shared" si="7"/>
        <v>2222.88</v>
      </c>
      <c r="J24" s="35">
        <f t="shared" si="8"/>
        <v>94.527969999999996</v>
      </c>
    </row>
    <row r="25" spans="1:13" x14ac:dyDescent="0.25">
      <c r="A25" s="29" t="s">
        <v>45</v>
      </c>
      <c r="B25" s="30" t="s">
        <v>46</v>
      </c>
      <c r="C25" s="31" t="s">
        <v>1</v>
      </c>
      <c r="D25" s="33"/>
      <c r="E25" s="34">
        <v>1417393.5982144391</v>
      </c>
      <c r="F25" s="34"/>
      <c r="G25" s="35">
        <f>71708724.55/1000</f>
        <v>71708.724549999999</v>
      </c>
      <c r="H25" s="35">
        <f>23252679.82/1000</f>
        <v>23252.679820000001</v>
      </c>
      <c r="I25" s="35">
        <f t="shared" si="7"/>
        <v>71708.724549999999</v>
      </c>
      <c r="J25" s="35">
        <f t="shared" si="8"/>
        <v>23252.679820000001</v>
      </c>
    </row>
    <row r="26" spans="1:13" x14ac:dyDescent="0.25">
      <c r="A26" s="29" t="s">
        <v>47</v>
      </c>
      <c r="B26" s="30" t="s">
        <v>42</v>
      </c>
      <c r="C26" s="31" t="s">
        <v>1</v>
      </c>
      <c r="D26" s="33"/>
      <c r="E26" s="34">
        <v>3516539.3999137087</v>
      </c>
      <c r="F26" s="34"/>
      <c r="G26" s="35">
        <f>86155012.19/1000</f>
        <v>86155.012189999994</v>
      </c>
      <c r="H26" s="35">
        <f>20436544.26/1000</f>
        <v>20436.544260000002</v>
      </c>
      <c r="I26" s="35">
        <f t="shared" si="7"/>
        <v>86155.012189999994</v>
      </c>
      <c r="J26" s="35">
        <f t="shared" si="8"/>
        <v>20436.544260000002</v>
      </c>
    </row>
    <row r="27" spans="1:13" x14ac:dyDescent="0.25">
      <c r="A27" s="29" t="s">
        <v>48</v>
      </c>
      <c r="B27" s="30" t="s">
        <v>42</v>
      </c>
      <c r="C27" s="31" t="s">
        <v>1</v>
      </c>
      <c r="D27" s="33"/>
      <c r="E27" s="34">
        <v>3049504.263516</v>
      </c>
      <c r="F27" s="34"/>
      <c r="G27" s="35">
        <f>137237453.11/1000</f>
        <v>137237.45311</v>
      </c>
      <c r="H27" s="35">
        <f>29413344.58/1000</f>
        <v>29413.344579999997</v>
      </c>
      <c r="I27" s="35">
        <f>+G27</f>
        <v>137237.45311</v>
      </c>
      <c r="J27" s="35">
        <f>+H27</f>
        <v>29413.344579999997</v>
      </c>
    </row>
    <row r="28" spans="1:13" x14ac:dyDescent="0.25">
      <c r="A28" s="29" t="s">
        <v>49</v>
      </c>
      <c r="B28" s="30" t="s">
        <v>40</v>
      </c>
      <c r="C28" s="31" t="s">
        <v>1</v>
      </c>
      <c r="D28" s="33"/>
      <c r="E28" s="34">
        <v>1941441.7308446234</v>
      </c>
      <c r="F28" s="34"/>
      <c r="G28" s="35">
        <f>68226370.83/1000</f>
        <v>68226.37083</v>
      </c>
      <c r="H28" s="35">
        <f>15898904.69/1000</f>
        <v>15898.904689999999</v>
      </c>
      <c r="I28" s="35">
        <f t="shared" ref="I28:I31" si="9">+G28</f>
        <v>68226.37083</v>
      </c>
      <c r="J28" s="35">
        <f t="shared" ref="J28:J31" si="10">+H28</f>
        <v>15898.904689999999</v>
      </c>
    </row>
    <row r="29" spans="1:13" x14ac:dyDescent="0.25">
      <c r="A29" s="29" t="s">
        <v>50</v>
      </c>
      <c r="B29" s="30"/>
      <c r="C29" s="31" t="s">
        <v>21</v>
      </c>
      <c r="D29" s="33"/>
      <c r="E29" s="34">
        <v>598</v>
      </c>
      <c r="F29" s="34"/>
      <c r="G29" s="35"/>
      <c r="H29" s="35"/>
      <c r="I29" s="35">
        <f t="shared" si="9"/>
        <v>0</v>
      </c>
      <c r="J29" s="35">
        <f t="shared" si="10"/>
        <v>0</v>
      </c>
    </row>
    <row r="30" spans="1:13" x14ac:dyDescent="0.25">
      <c r="A30" s="29" t="s">
        <v>51</v>
      </c>
      <c r="B30" s="30" t="s">
        <v>52</v>
      </c>
      <c r="C30" s="31" t="s">
        <v>1</v>
      </c>
      <c r="D30" s="33"/>
      <c r="E30" s="34">
        <v>699726.60617032589</v>
      </c>
      <c r="F30" s="34"/>
      <c r="G30" s="35">
        <f>14649628.64/1000</f>
        <v>14649.628640000001</v>
      </c>
      <c r="H30" s="35">
        <f>2287393.79/1000</f>
        <v>2287.3937900000001</v>
      </c>
      <c r="I30" s="35">
        <f t="shared" si="9"/>
        <v>14649.628640000001</v>
      </c>
      <c r="J30" s="35">
        <f t="shared" si="10"/>
        <v>2287.3937900000001</v>
      </c>
    </row>
    <row r="31" spans="1:13" x14ac:dyDescent="0.25">
      <c r="A31" s="29" t="s">
        <v>53</v>
      </c>
      <c r="B31" s="30" t="s">
        <v>54</v>
      </c>
      <c r="C31" s="52" t="s">
        <v>1</v>
      </c>
      <c r="D31" s="33"/>
      <c r="E31" s="53">
        <v>631197.35457933007</v>
      </c>
      <c r="F31" s="53">
        <v>94693</v>
      </c>
      <c r="G31" s="51"/>
      <c r="H31" s="35">
        <f>4547552.16/1000</f>
        <v>4547.5521600000002</v>
      </c>
      <c r="I31" s="35">
        <f t="shared" si="9"/>
        <v>0</v>
      </c>
      <c r="J31" s="35">
        <f t="shared" si="10"/>
        <v>4547.5521600000002</v>
      </c>
    </row>
    <row r="32" spans="1:13" s="47" customFormat="1" ht="21" customHeight="1" thickBot="1" x14ac:dyDescent="0.3">
      <c r="A32" s="42" t="s">
        <v>55</v>
      </c>
      <c r="B32" s="43"/>
      <c r="C32" s="42"/>
      <c r="D32" s="44">
        <f>+D33</f>
        <v>0</v>
      </c>
      <c r="E32" s="46">
        <f>+E33</f>
        <v>0</v>
      </c>
      <c r="F32" s="54"/>
      <c r="G32" s="46"/>
      <c r="H32" s="55"/>
      <c r="I32" s="44"/>
      <c r="J32" s="46"/>
    </row>
    <row r="33" spans="1:37" ht="15.75" thickTop="1" x14ac:dyDescent="0.25">
      <c r="A33" s="56" t="s">
        <v>56</v>
      </c>
      <c r="B33" s="31"/>
      <c r="C33" s="52" t="s">
        <v>21</v>
      </c>
      <c r="D33" s="33">
        <v>0</v>
      </c>
      <c r="E33" s="33">
        <v>0</v>
      </c>
      <c r="F33" s="53"/>
      <c r="G33" s="51"/>
      <c r="H33" s="51"/>
      <c r="I33" s="57"/>
      <c r="J33" s="58"/>
    </row>
    <row r="34" spans="1:37" s="47" customFormat="1" ht="15.75" thickBot="1" x14ac:dyDescent="0.3">
      <c r="A34" s="42" t="s">
        <v>57</v>
      </c>
      <c r="B34" s="43"/>
      <c r="C34" s="42"/>
      <c r="D34" s="45">
        <f>+D35</f>
        <v>55614.11</v>
      </c>
      <c r="E34" s="46">
        <f>+E35</f>
        <v>51682.11</v>
      </c>
      <c r="F34" s="46">
        <f t="shared" ref="F34:J34" si="11">+F35</f>
        <v>0</v>
      </c>
      <c r="G34" s="46">
        <f t="shared" si="11"/>
        <v>0</v>
      </c>
      <c r="H34" s="46">
        <f t="shared" si="11"/>
        <v>0</v>
      </c>
      <c r="I34" s="46">
        <f t="shared" si="11"/>
        <v>0</v>
      </c>
      <c r="J34" s="46">
        <f t="shared" si="11"/>
        <v>0</v>
      </c>
    </row>
    <row r="35" spans="1:37" s="47" customFormat="1" ht="16.5" thickTop="1" thickBot="1" x14ac:dyDescent="0.3">
      <c r="A35" s="42" t="s">
        <v>58</v>
      </c>
      <c r="B35" s="43"/>
      <c r="C35" s="42" t="s">
        <v>59</v>
      </c>
      <c r="D35" s="44">
        <f>SUM(D36:D43)</f>
        <v>55614.11</v>
      </c>
      <c r="E35" s="46">
        <f>SUM(E36:E43)</f>
        <v>51682.11</v>
      </c>
      <c r="F35" s="46">
        <f t="shared" ref="F35:J35" si="12">SUM(F36:F43)</f>
        <v>0</v>
      </c>
      <c r="G35" s="46">
        <f t="shared" si="12"/>
        <v>0</v>
      </c>
      <c r="H35" s="46">
        <f t="shared" si="12"/>
        <v>0</v>
      </c>
      <c r="I35" s="46">
        <f t="shared" si="12"/>
        <v>0</v>
      </c>
      <c r="J35" s="46">
        <f t="shared" si="12"/>
        <v>0</v>
      </c>
    </row>
    <row r="36" spans="1:37" ht="15.75" thickTop="1" x14ac:dyDescent="0.25">
      <c r="A36" s="59" t="s">
        <v>60</v>
      </c>
      <c r="B36" s="60"/>
      <c r="C36" s="31"/>
      <c r="D36" s="33"/>
      <c r="E36" s="61"/>
      <c r="F36" s="62"/>
      <c r="G36" s="51"/>
      <c r="H36" s="51"/>
      <c r="I36" s="57"/>
      <c r="J36" s="51"/>
    </row>
    <row r="37" spans="1:37" x14ac:dyDescent="0.25">
      <c r="A37" s="59" t="s">
        <v>61</v>
      </c>
      <c r="B37" s="60"/>
      <c r="C37" s="31"/>
      <c r="D37" s="33"/>
      <c r="E37" s="61"/>
      <c r="F37" s="62"/>
      <c r="G37" s="51"/>
      <c r="H37" s="51"/>
      <c r="I37" s="57"/>
      <c r="J37" s="51"/>
    </row>
    <row r="38" spans="1:37" x14ac:dyDescent="0.25">
      <c r="A38" s="63" t="s">
        <v>62</v>
      </c>
      <c r="B38" s="31"/>
      <c r="C38" s="31" t="s">
        <v>21</v>
      </c>
      <c r="D38" s="64">
        <v>55426</v>
      </c>
      <c r="E38" s="61">
        <v>51494</v>
      </c>
      <c r="F38" s="53"/>
      <c r="G38" s="51"/>
      <c r="H38" s="51"/>
      <c r="I38" s="51"/>
      <c r="J38" s="51"/>
    </row>
    <row r="39" spans="1:37" x14ac:dyDescent="0.25">
      <c r="A39" s="59" t="s">
        <v>63</v>
      </c>
      <c r="B39" s="60"/>
      <c r="C39" s="31"/>
      <c r="D39" s="32"/>
      <c r="E39" s="61"/>
      <c r="F39" s="62"/>
      <c r="G39" s="51"/>
      <c r="H39" s="51"/>
      <c r="I39" s="57"/>
      <c r="J39" s="51"/>
    </row>
    <row r="40" spans="1:37" x14ac:dyDescent="0.25">
      <c r="A40" s="65" t="s">
        <v>64</v>
      </c>
      <c r="B40" s="31"/>
      <c r="C40" s="31" t="s">
        <v>21</v>
      </c>
      <c r="D40" s="32"/>
      <c r="E40" s="61"/>
      <c r="F40" s="53"/>
      <c r="G40" s="51"/>
      <c r="H40" s="51"/>
      <c r="I40" s="57"/>
      <c r="J40" s="51"/>
    </row>
    <row r="41" spans="1:37" x14ac:dyDescent="0.25">
      <c r="A41" s="65" t="s">
        <v>65</v>
      </c>
      <c r="B41" s="31"/>
      <c r="C41" s="31" t="s">
        <v>21</v>
      </c>
      <c r="D41" s="64">
        <v>188.11</v>
      </c>
      <c r="E41" s="61">
        <f>+D41+F41-G41</f>
        <v>188.11</v>
      </c>
      <c r="F41" s="53"/>
      <c r="G41" s="51"/>
      <c r="H41" s="51"/>
      <c r="I41" s="57"/>
      <c r="J41" s="51"/>
    </row>
    <row r="42" spans="1:37" x14ac:dyDescent="0.25">
      <c r="A42" s="59" t="s">
        <v>66</v>
      </c>
      <c r="B42" s="60"/>
      <c r="C42" s="31"/>
      <c r="D42" s="33"/>
      <c r="E42" s="61"/>
      <c r="F42" s="62"/>
      <c r="G42" s="51"/>
      <c r="H42" s="51"/>
      <c r="I42" s="57"/>
      <c r="J42" s="51"/>
    </row>
    <row r="43" spans="1:37" s="71" customFormat="1" x14ac:dyDescent="0.25">
      <c r="A43" s="66"/>
      <c r="B43" s="67"/>
      <c r="C43" s="67"/>
      <c r="D43" s="33"/>
      <c r="E43" s="68"/>
      <c r="F43" s="69"/>
      <c r="G43" s="70"/>
      <c r="H43" s="70"/>
      <c r="I43" s="68"/>
      <c r="J43" s="70"/>
    </row>
    <row r="44" spans="1:37" ht="15.75" thickBot="1" x14ac:dyDescent="0.3">
      <c r="A44" s="72" t="s">
        <v>67</v>
      </c>
      <c r="B44" s="73"/>
      <c r="C44" s="74"/>
      <c r="D44" s="75"/>
      <c r="E44" s="75"/>
      <c r="F44" s="76"/>
      <c r="G44" s="77"/>
      <c r="H44" s="78"/>
      <c r="I44" s="79"/>
      <c r="J44" s="80"/>
    </row>
    <row r="45" spans="1:37" s="47" customFormat="1" ht="15.75" thickBot="1" x14ac:dyDescent="0.3">
      <c r="A45" s="42" t="s">
        <v>68</v>
      </c>
      <c r="B45" s="43"/>
      <c r="C45" s="42" t="s">
        <v>59</v>
      </c>
      <c r="D45" s="44">
        <f>+D34+D19+D8</f>
        <v>8083379.1751800003</v>
      </c>
      <c r="E45" s="46">
        <f>+E34+E19+E8</f>
        <v>22007063.674329244</v>
      </c>
      <c r="F45" s="46">
        <f t="shared" ref="F45" si="13">+F34+F19+F8</f>
        <v>717157</v>
      </c>
      <c r="G45" s="46">
        <f>+G34+G19+G8</f>
        <v>1240787.36191</v>
      </c>
      <c r="H45" s="46">
        <f>+H34+H19+H8</f>
        <v>412627.25851999997</v>
      </c>
      <c r="I45" s="46">
        <f t="shared" ref="I45:J45" si="14">+I34+I19+I8</f>
        <v>1240787.36191</v>
      </c>
      <c r="J45" s="46">
        <f t="shared" si="14"/>
        <v>412627.25851999997</v>
      </c>
    </row>
    <row r="46" spans="1:37" s="83" customFormat="1" ht="15.75" thickTop="1" x14ac:dyDescent="0.25">
      <c r="A46" s="118"/>
      <c r="B46" s="118"/>
      <c r="C46" s="119"/>
      <c r="D46" s="81"/>
      <c r="E46" s="81"/>
      <c r="F46" s="82"/>
      <c r="G46" s="81"/>
      <c r="H46" s="81">
        <f>+G45+H45</f>
        <v>1653414.6204299999</v>
      </c>
      <c r="I46" s="81"/>
      <c r="J46" s="81">
        <f>+I45+J45</f>
        <v>1653414.6204299999</v>
      </c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</row>
    <row r="47" spans="1:37" ht="15.75" thickBot="1" x14ac:dyDescent="0.3">
      <c r="A47" s="88"/>
      <c r="B47" s="88"/>
      <c r="C47" s="120"/>
      <c r="D47" s="84"/>
      <c r="E47" s="84"/>
      <c r="F47" s="85"/>
      <c r="G47" s="86"/>
      <c r="H47" s="87"/>
      <c r="I47" s="84"/>
      <c r="J47" s="86"/>
      <c r="K47" s="12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</row>
    <row r="48" spans="1:37" ht="15.75" thickBot="1" x14ac:dyDescent="0.3">
      <c r="A48" s="88"/>
      <c r="B48" s="88"/>
      <c r="C48" s="89"/>
      <c r="D48" s="90"/>
      <c r="E48" s="90"/>
    </row>
    <row r="49" spans="1:7" ht="20.25" thickBot="1" x14ac:dyDescent="0.35">
      <c r="A49" s="123" t="s">
        <v>80</v>
      </c>
      <c r="B49" s="124"/>
      <c r="C49" s="125"/>
      <c r="D49" s="90"/>
      <c r="E49" s="90"/>
    </row>
    <row r="50" spans="1:7" x14ac:dyDescent="0.25">
      <c r="A50" s="107" t="s">
        <v>69</v>
      </c>
      <c r="B50" s="108"/>
      <c r="C50" s="109">
        <f>SUM(C51:C54)</f>
        <v>4502292</v>
      </c>
      <c r="D50" s="91"/>
      <c r="E50" s="91"/>
    </row>
    <row r="51" spans="1:7" x14ac:dyDescent="0.25">
      <c r="A51" s="110" t="s">
        <v>70</v>
      </c>
      <c r="B51" s="111"/>
      <c r="C51" s="112">
        <v>3019597</v>
      </c>
      <c r="D51" s="92"/>
      <c r="E51" s="92"/>
    </row>
    <row r="52" spans="1:7" x14ac:dyDescent="0.25">
      <c r="A52" s="113" t="s">
        <v>71</v>
      </c>
      <c r="B52" s="114"/>
      <c r="C52" s="112">
        <v>720191</v>
      </c>
      <c r="D52" s="93"/>
      <c r="E52" s="93"/>
    </row>
    <row r="53" spans="1:7" x14ac:dyDescent="0.25">
      <c r="A53" s="113" t="s">
        <v>72</v>
      </c>
      <c r="B53" s="114"/>
      <c r="C53" s="112">
        <v>747049</v>
      </c>
      <c r="D53" s="94"/>
      <c r="E53" s="94"/>
      <c r="F53" s="94"/>
      <c r="G53" s="94"/>
    </row>
    <row r="54" spans="1:7" x14ac:dyDescent="0.25">
      <c r="A54" s="115" t="s">
        <v>73</v>
      </c>
      <c r="B54" s="116"/>
      <c r="C54" s="117">
        <v>15455</v>
      </c>
      <c r="D54" s="94"/>
      <c r="E54" s="94"/>
      <c r="F54" s="94"/>
      <c r="G54" s="94"/>
    </row>
    <row r="55" spans="1:7" x14ac:dyDescent="0.25">
      <c r="A55" s="95"/>
      <c r="B55" s="96"/>
      <c r="C55" s="97"/>
      <c r="D55" s="94"/>
      <c r="E55" s="94"/>
      <c r="F55" s="94"/>
      <c r="G55" s="94"/>
    </row>
    <row r="56" spans="1:7" x14ac:dyDescent="0.25">
      <c r="A56" s="98" t="s">
        <v>78</v>
      </c>
      <c r="B56" s="99"/>
      <c r="C56" s="100"/>
      <c r="D56" s="94"/>
      <c r="E56" s="94"/>
      <c r="F56" s="94"/>
      <c r="G56" s="94"/>
    </row>
    <row r="57" spans="1:7" x14ac:dyDescent="0.25">
      <c r="A57" s="100" t="s">
        <v>74</v>
      </c>
      <c r="B57" s="88"/>
      <c r="C57" s="101"/>
      <c r="D57" s="94"/>
      <c r="E57" s="94"/>
      <c r="F57" s="94"/>
      <c r="G57" s="94"/>
    </row>
    <row r="58" spans="1:7" x14ac:dyDescent="0.25">
      <c r="A58" s="100" t="s">
        <v>77</v>
      </c>
      <c r="B58" s="88"/>
      <c r="D58" s="94"/>
      <c r="E58" s="94"/>
      <c r="F58" s="94"/>
      <c r="G58" s="94"/>
    </row>
    <row r="59" spans="1:7" x14ac:dyDescent="0.25">
      <c r="A59" s="98" t="s">
        <v>75</v>
      </c>
      <c r="B59" s="99"/>
      <c r="D59" s="94"/>
      <c r="E59" s="94"/>
      <c r="F59" s="94"/>
      <c r="G59" s="94"/>
    </row>
    <row r="60" spans="1:7" x14ac:dyDescent="0.25">
      <c r="A60" s="102" t="s">
        <v>76</v>
      </c>
      <c r="B60" s="103"/>
      <c r="D60" s="94"/>
      <c r="E60" s="94"/>
      <c r="F60" s="94"/>
      <c r="G60" s="94"/>
    </row>
    <row r="61" spans="1:7" x14ac:dyDescent="0.25">
      <c r="D61" s="94"/>
      <c r="E61" s="94"/>
      <c r="F61" s="94"/>
      <c r="G61" s="94"/>
    </row>
    <row r="62" spans="1:7" x14ac:dyDescent="0.25">
      <c r="D62" s="94"/>
      <c r="E62" s="94"/>
      <c r="F62" s="94"/>
      <c r="G62" s="94"/>
    </row>
    <row r="63" spans="1:7" x14ac:dyDescent="0.25">
      <c r="D63" s="94"/>
      <c r="E63" s="94"/>
      <c r="F63" s="94"/>
      <c r="G63" s="94"/>
    </row>
    <row r="64" spans="1:7" x14ac:dyDescent="0.25">
      <c r="D64" s="94"/>
      <c r="E64" s="94"/>
      <c r="F64" s="94"/>
      <c r="G64" s="94"/>
    </row>
    <row r="65" spans="4:7" x14ac:dyDescent="0.25">
      <c r="D65" s="94"/>
      <c r="E65" s="94"/>
      <c r="F65" s="94"/>
      <c r="G65" s="94"/>
    </row>
    <row r="66" spans="4:7" x14ac:dyDescent="0.25">
      <c r="D66" s="94"/>
      <c r="E66" s="94"/>
      <c r="F66" s="94"/>
      <c r="G66" s="94"/>
    </row>
    <row r="67" spans="4:7" x14ac:dyDescent="0.25">
      <c r="D67" s="94"/>
      <c r="E67" s="94"/>
      <c r="F67" s="94"/>
      <c r="G67" s="94"/>
    </row>
    <row r="68" spans="4:7" x14ac:dyDescent="0.25">
      <c r="D68" s="94"/>
      <c r="E68" s="94"/>
      <c r="F68" s="94"/>
      <c r="G68" s="94"/>
    </row>
  </sheetData>
  <mergeCells count="6">
    <mergeCell ref="A49:C49"/>
    <mergeCell ref="A5:A7"/>
    <mergeCell ref="F6:F7"/>
    <mergeCell ref="G6:H6"/>
    <mergeCell ref="I6:J6"/>
    <mergeCell ref="F4:J5"/>
  </mergeCells>
  <pageMargins left="0.7" right="0.7" top="0.3" bottom="0.75" header="0.3" footer="0.3"/>
  <pageSetup paperSize="9" scale="55" fitToHeight="0" orientation="landscape" r:id="rId1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2021-07-29T12:10:35Z</cp:lastPrinted>
  <dcterms:created xsi:type="dcterms:W3CDTF">2021-02-22T10:58:47Z</dcterms:created>
  <dcterms:modified xsi:type="dcterms:W3CDTF">2021-08-03T13:38:13Z</dcterms:modified>
</cp:coreProperties>
</file>